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WER SOUTH COAST" sheetId="1" r:id="rId5"/>
  </sheets>
  <definedNames/>
  <calcPr/>
</workbook>
</file>

<file path=xl/sharedStrings.xml><?xml version="1.0" encoding="utf-8"?>
<sst xmlns="http://schemas.openxmlformats.org/spreadsheetml/2006/main" count="41" uniqueCount="40">
  <si>
    <t>SURNAME</t>
  </si>
  <si>
    <t>NAME</t>
  </si>
  <si>
    <t>BRANCH</t>
  </si>
  <si>
    <t>DOB</t>
  </si>
  <si>
    <t>AGE</t>
  </si>
  <si>
    <t>ADDRESS</t>
  </si>
  <si>
    <t>CELL NO</t>
  </si>
  <si>
    <t>HNA</t>
  </si>
  <si>
    <t>HOME CLUB</t>
  </si>
  <si>
    <t>JOINED</t>
  </si>
  <si>
    <t>YRS</t>
  </si>
  <si>
    <t>HM</t>
  </si>
  <si>
    <t>HL</t>
  </si>
  <si>
    <t>HB</t>
  </si>
  <si>
    <t>AS</t>
  </si>
  <si>
    <t>FM</t>
  </si>
  <si>
    <t>PAY</t>
  </si>
  <si>
    <t>REM</t>
  </si>
  <si>
    <t>INFORMATION</t>
  </si>
  <si>
    <t>Male</t>
  </si>
  <si>
    <t>Female</t>
  </si>
  <si>
    <t>Totals</t>
  </si>
  <si>
    <t>Over 80</t>
  </si>
  <si>
    <t>Honorary Member</t>
  </si>
  <si>
    <t>Honorary Life</t>
  </si>
  <si>
    <t>Associated Members</t>
  </si>
  <si>
    <t>Branch Honorary</t>
  </si>
  <si>
    <t>Outstanding Info</t>
  </si>
  <si>
    <t>Members that pay subs</t>
  </si>
  <si>
    <t>Members that have not paid</t>
  </si>
  <si>
    <t>Outstanding Payments</t>
  </si>
  <si>
    <t>Outstanding Joining Fee</t>
  </si>
  <si>
    <t>Total Branch Members</t>
  </si>
  <si>
    <t>FINANCIAL INFORMATION</t>
  </si>
  <si>
    <t>No.</t>
  </si>
  <si>
    <t>AMOUNT</t>
  </si>
  <si>
    <t>Total Subs Due</t>
  </si>
  <si>
    <t>Boland Subs from FYE</t>
  </si>
  <si>
    <t>Current Membership Payments</t>
  </si>
  <si>
    <t>Associated Payments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</si>
</sst>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&quot;-&quot;yyyy"/>
    <numFmt numFmtId="165" formatCode="[$R]#,##0.00"/>
    <numFmt numFmtId="166" formatCode="000-000-0000"/>
    <numFmt numFmtId="167" formatCode="R#,##0.00_);[Red](#,##0.00)"/>
  </numFmts>
  <fonts count="14">
    <font>
      <sz val="10.0"/>
      <color rgb="FF000000"/>
      <name val="Arial"/>
      <scheme val="minor"/>
    </font>
    <font>
      <b/>
      <sz val="9.0"/>
      <color rgb="FFFFFFFF"/>
      <name val="Arial"/>
    </font>
    <font>
      <color rgb="FFFFFFFF"/>
      <name val="Arial"/>
    </font>
    <font>
      <b/>
      <color rgb="FF1155CC"/>
      <name val="Arial"/>
    </font>
    <font>
      <sz val="9.0"/>
      <color theme="1"/>
      <name val="Arial"/>
    </font>
    <font>
      <sz val="9.0"/>
      <color theme="1"/>
      <name val="Calibri"/>
    </font>
    <font>
      <b/>
      <color theme="1"/>
      <name val="Calibri"/>
    </font>
    <font>
      <b/>
      <color rgb="FFFFFFFF"/>
      <name val="Calibri"/>
    </font>
    <font>
      <color theme="1"/>
      <name val="Calibri"/>
    </font>
    <font>
      <color theme="1"/>
      <name val="Arial"/>
    </font>
    <font>
      <b/>
      <color theme="1"/>
      <name val="Arial"/>
    </font>
    <font>
      <color rgb="FFFFFFFF"/>
      <name val="Calibri"/>
    </font>
    <font>
      <sz val="9.0"/>
      <color rgb="FFFFFFFF"/>
      <name val="Arial"/>
    </font>
    <font>
      <b/>
      <color rgb="FFFFFFFF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2B2E1"/>
        <bgColor rgb="FFF2B2E1"/>
      </patternFill>
    </fill>
    <fill>
      <patternFill patternType="solid">
        <fgColor rgb="FFB7E1CD"/>
        <bgColor rgb="FFB7E1CD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0070C0"/>
      </patternFill>
    </fill>
    <fill>
      <patternFill patternType="solid">
        <fgColor rgb="FF990000"/>
        <bgColor rgb="FF990000"/>
      </patternFill>
    </fill>
    <fill>
      <patternFill patternType="solid">
        <fgColor rgb="FF15CE00"/>
        <bgColor rgb="FF15CE00"/>
      </patternFill>
    </fill>
    <fill>
      <patternFill patternType="solid">
        <fgColor rgb="FFFFD966"/>
        <bgColor rgb="FFFFD966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1" numFmtId="1" xfId="0" applyAlignment="1" applyFont="1" applyNumberFormat="1">
      <alignment horizontal="center"/>
    </xf>
    <xf borderId="0" fillId="2" fontId="1" numFmtId="0" xfId="0" applyAlignment="1" applyFont="1">
      <alignment horizontal="center" shrinkToFit="0" wrapText="1"/>
    </xf>
    <xf borderId="0" fillId="2" fontId="1" numFmtId="164" xfId="0" applyAlignment="1" applyFont="1" applyNumberFormat="1">
      <alignment horizontal="center" shrinkToFit="0" wrapText="1"/>
    </xf>
    <xf borderId="1" fillId="2" fontId="2" numFmtId="164" xfId="0" applyAlignment="1" applyBorder="1" applyFont="1" applyNumberFormat="1">
      <alignment horizontal="center" vertical="bottom"/>
    </xf>
    <xf borderId="2" fillId="2" fontId="3" numFmtId="165" xfId="0" applyAlignment="1" applyBorder="1" applyFont="1" applyNumberFormat="1">
      <alignment horizontal="center" vertical="bottom"/>
    </xf>
    <xf borderId="2" fillId="2" fontId="3" numFmtId="0" xfId="0" applyAlignment="1" applyBorder="1" applyFont="1">
      <alignment horizontal="center" vertical="bottom"/>
    </xf>
    <xf borderId="2" fillId="2" fontId="3" numFmtId="164" xfId="0" applyAlignment="1" applyBorder="1" applyFont="1" applyNumberFormat="1">
      <alignment horizontal="center" vertical="bottom"/>
    </xf>
    <xf borderId="0" fillId="3" fontId="4" numFmtId="0" xfId="0" applyFill="1" applyFont="1"/>
    <xf borderId="0" fillId="4" fontId="4" numFmtId="0" xfId="0" applyAlignment="1" applyFill="1" applyFont="1">
      <alignment horizontal="center"/>
    </xf>
    <xf borderId="0" fillId="5" fontId="4" numFmtId="164" xfId="0" applyAlignment="1" applyFill="1" applyFont="1" applyNumberFormat="1">
      <alignment horizontal="center"/>
    </xf>
    <xf borderId="0" fillId="5" fontId="4" numFmtId="3" xfId="0" applyAlignment="1" applyFont="1" applyNumberFormat="1">
      <alignment horizontal="center"/>
    </xf>
    <xf borderId="0" fillId="5" fontId="4" numFmtId="0" xfId="0" applyFont="1"/>
    <xf borderId="0" fillId="5" fontId="4" numFmtId="166" xfId="0" applyAlignment="1" applyFont="1" applyNumberFormat="1">
      <alignment horizontal="center"/>
    </xf>
    <xf borderId="0" fillId="5" fontId="4" numFmtId="1" xfId="0" applyAlignment="1" applyFont="1" applyNumberFormat="1">
      <alignment horizontal="center"/>
    </xf>
    <xf borderId="0" fillId="5" fontId="4" numFmtId="164" xfId="0" applyAlignment="1" applyFont="1" applyNumberFormat="1">
      <alignment horizontal="center"/>
    </xf>
    <xf borderId="0" fillId="5" fontId="4" numFmtId="0" xfId="0" applyAlignment="1" applyFont="1">
      <alignment horizontal="center"/>
    </xf>
    <xf borderId="0" fillId="5" fontId="5" numFmtId="0" xfId="0" applyAlignment="1" applyFont="1">
      <alignment horizontal="center" shrinkToFit="0" wrapText="1"/>
    </xf>
    <xf borderId="0" fillId="3" fontId="5" numFmtId="0" xfId="0" applyAlignment="1" applyFont="1">
      <alignment horizontal="center" shrinkToFit="0" wrapText="1"/>
    </xf>
    <xf borderId="0" fillId="4" fontId="5" numFmtId="0" xfId="0" applyAlignment="1" applyFont="1">
      <alignment horizontal="center" shrinkToFit="0" wrapText="1"/>
    </xf>
    <xf borderId="3" fillId="6" fontId="6" numFmtId="165" xfId="0" applyAlignment="1" applyBorder="1" applyFill="1" applyFont="1" applyNumberFormat="1">
      <alignment shrinkToFit="0" vertical="bottom" wrapText="1"/>
    </xf>
    <xf borderId="4" fillId="6" fontId="6" numFmtId="165" xfId="0" applyAlignment="1" applyBorder="1" applyFont="1" applyNumberFormat="1">
      <alignment horizontal="center" shrinkToFit="0" vertical="bottom" wrapText="1"/>
    </xf>
    <xf borderId="4" fillId="3" fontId="6" numFmtId="165" xfId="0" applyAlignment="1" applyBorder="1" applyFont="1" applyNumberFormat="1">
      <alignment horizontal="center" shrinkToFit="0" vertical="bottom" wrapText="1"/>
    </xf>
    <xf borderId="0" fillId="7" fontId="4" numFmtId="0" xfId="0" applyFill="1" applyFont="1"/>
    <xf borderId="0" fillId="7" fontId="4" numFmtId="164" xfId="0" applyAlignment="1" applyFont="1" applyNumberFormat="1">
      <alignment horizontal="center"/>
    </xf>
    <xf borderId="0" fillId="7" fontId="4" numFmtId="3" xfId="0" applyAlignment="1" applyFont="1" applyNumberFormat="1">
      <alignment horizontal="center"/>
    </xf>
    <xf borderId="0" fillId="7" fontId="4" numFmtId="166" xfId="0" applyAlignment="1" applyFont="1" applyNumberFormat="1">
      <alignment horizontal="center"/>
    </xf>
    <xf borderId="0" fillId="7" fontId="4" numFmtId="1" xfId="0" applyAlignment="1" applyFont="1" applyNumberFormat="1">
      <alignment horizontal="center"/>
    </xf>
    <xf borderId="0" fillId="7" fontId="4" numFmtId="164" xfId="0" applyAlignment="1" applyFont="1" applyNumberFormat="1">
      <alignment horizontal="center"/>
    </xf>
    <xf borderId="0" fillId="7" fontId="4" numFmtId="0" xfId="0" applyAlignment="1" applyFont="1">
      <alignment horizontal="center"/>
    </xf>
    <xf borderId="0" fillId="7" fontId="5" numFmtId="0" xfId="0" applyAlignment="1" applyFont="1">
      <alignment horizontal="center" shrinkToFit="0" wrapText="1"/>
    </xf>
    <xf borderId="3" fillId="8" fontId="7" numFmtId="0" xfId="0" applyAlignment="1" applyBorder="1" applyFill="1" applyFont="1">
      <alignment vertical="bottom"/>
    </xf>
    <xf borderId="4" fillId="0" fontId="8" numFmtId="0" xfId="0" applyAlignment="1" applyBorder="1" applyFont="1">
      <alignment horizontal="center" shrinkToFit="0" vertical="bottom" wrapText="1"/>
    </xf>
    <xf borderId="4" fillId="0" fontId="8" numFmtId="3" xfId="0" applyAlignment="1" applyBorder="1" applyFont="1" applyNumberFormat="1">
      <alignment horizontal="center" shrinkToFit="0" vertical="bottom" wrapText="1"/>
    </xf>
    <xf borderId="4" fillId="0" fontId="6" numFmtId="3" xfId="0" applyAlignment="1" applyBorder="1" applyFont="1" applyNumberFormat="1">
      <alignment horizontal="center" shrinkToFit="0" vertical="bottom" wrapText="1"/>
    </xf>
    <xf borderId="3" fillId="9" fontId="7" numFmtId="0" xfId="0" applyAlignment="1" applyBorder="1" applyFill="1" applyFont="1">
      <alignment vertical="bottom"/>
    </xf>
    <xf borderId="0" fillId="7" fontId="5" numFmtId="0" xfId="0" applyAlignment="1" applyFont="1">
      <alignment horizontal="center" shrinkToFit="0" wrapText="1"/>
    </xf>
    <xf borderId="3" fillId="10" fontId="7" numFmtId="0" xfId="0" applyAlignment="1" applyBorder="1" applyFill="1" applyFont="1">
      <alignment vertical="bottom"/>
    </xf>
    <xf borderId="4" fillId="0" fontId="8" numFmtId="0" xfId="0" applyAlignment="1" applyBorder="1" applyFont="1">
      <alignment horizontal="center" shrinkToFit="0" vertical="bottom" wrapText="1"/>
    </xf>
    <xf borderId="0" fillId="5" fontId="5" numFmtId="0" xfId="0" applyAlignment="1" applyFont="1">
      <alignment horizontal="center" shrinkToFit="0" wrapText="1"/>
    </xf>
    <xf borderId="3" fillId="11" fontId="6" numFmtId="0" xfId="0" applyAlignment="1" applyBorder="1" applyFill="1" applyFont="1">
      <alignment vertical="bottom"/>
    </xf>
    <xf borderId="0" fillId="7" fontId="4" numFmtId="0" xfId="0" applyAlignment="1" applyFont="1">
      <alignment horizontal="center"/>
    </xf>
    <xf borderId="3" fillId="12" fontId="6" numFmtId="0" xfId="0" applyAlignment="1" applyBorder="1" applyFill="1" applyFont="1">
      <alignment vertical="bottom"/>
    </xf>
    <xf borderId="0" fillId="5" fontId="4" numFmtId="0" xfId="0" applyAlignment="1" applyFont="1">
      <alignment horizontal="center"/>
    </xf>
    <xf borderId="3" fillId="13" fontId="6" numFmtId="0" xfId="0" applyAlignment="1" applyBorder="1" applyFill="1" applyFont="1">
      <alignment vertical="bottom"/>
    </xf>
    <xf borderId="4" fillId="0" fontId="9" numFmtId="0" xfId="0" applyAlignment="1" applyBorder="1" applyFont="1">
      <alignment vertical="bottom"/>
    </xf>
    <xf borderId="3" fillId="0" fontId="6" numFmtId="0" xfId="0" applyAlignment="1" applyBorder="1" applyFont="1">
      <alignment vertical="bottom"/>
    </xf>
    <xf borderId="4" fillId="0" fontId="6" numFmtId="0" xfId="0" applyAlignment="1" applyBorder="1" applyFont="1">
      <alignment horizontal="center" shrinkToFit="0" vertical="bottom" wrapText="1"/>
    </xf>
    <xf borderId="4" fillId="7" fontId="8" numFmtId="0" xfId="0" applyAlignment="1" applyBorder="1" applyFont="1">
      <alignment horizontal="center" vertical="bottom"/>
    </xf>
    <xf borderId="4" fillId="14" fontId="7" numFmtId="0" xfId="0" applyAlignment="1" applyBorder="1" applyFill="1" applyFont="1">
      <alignment horizontal="center" shrinkToFit="0" vertical="bottom" wrapText="1"/>
    </xf>
    <xf borderId="3" fillId="4" fontId="6" numFmtId="0" xfId="0" applyAlignment="1" applyBorder="1" applyFont="1">
      <alignment vertical="bottom"/>
    </xf>
    <xf borderId="3" fillId="0" fontId="6" numFmtId="165" xfId="0" applyAlignment="1" applyBorder="1" applyFont="1" applyNumberFormat="1">
      <alignment vertical="bottom"/>
    </xf>
    <xf borderId="0" fillId="7" fontId="5" numFmtId="165" xfId="0" applyAlignment="1" applyFont="1" applyNumberFormat="1">
      <alignment horizontal="center" shrinkToFit="0" wrapText="1"/>
    </xf>
    <xf borderId="5" fillId="0" fontId="6" numFmtId="165" xfId="0" applyAlignment="1" applyBorder="1" applyFont="1" applyNumberFormat="1">
      <alignment vertical="bottom"/>
    </xf>
    <xf borderId="6" fillId="0" fontId="8" numFmtId="49" xfId="0" applyAlignment="1" applyBorder="1" applyFont="1" applyNumberFormat="1">
      <alignment horizontal="center" vertical="bottom"/>
    </xf>
    <xf borderId="6" fillId="0" fontId="8" numFmtId="0" xfId="0" applyAlignment="1" applyBorder="1" applyFont="1">
      <alignment horizontal="center" vertical="bottom"/>
    </xf>
    <xf borderId="6" fillId="0" fontId="6" numFmtId="49" xfId="0" applyAlignment="1" applyBorder="1" applyFont="1" applyNumberFormat="1">
      <alignment horizontal="center" shrinkToFit="0" vertical="bottom" wrapText="1"/>
    </xf>
    <xf borderId="3" fillId="0" fontId="10" numFmtId="0" xfId="0" applyAlignment="1" applyBorder="1" applyFont="1">
      <alignment vertical="bottom"/>
    </xf>
    <xf borderId="4" fillId="0" fontId="8" numFmtId="49" xfId="0" applyAlignment="1" applyBorder="1" applyFont="1" applyNumberFormat="1">
      <alignment horizontal="center" shrinkToFit="0" vertical="bottom" wrapText="1"/>
    </xf>
    <xf borderId="4" fillId="0" fontId="6" numFmtId="49" xfId="0" applyAlignment="1" applyBorder="1" applyFont="1" applyNumberFormat="1">
      <alignment horizontal="center" shrinkToFit="0" vertical="bottom" wrapText="1"/>
    </xf>
    <xf borderId="2" fillId="0" fontId="9" numFmtId="49" xfId="0" applyAlignment="1" applyBorder="1" applyFont="1" applyNumberFormat="1">
      <alignment vertical="bottom"/>
    </xf>
    <xf borderId="2" fillId="0" fontId="11" numFmtId="0" xfId="0" applyAlignment="1" applyBorder="1" applyFont="1">
      <alignment horizontal="center" vertical="bottom"/>
    </xf>
    <xf borderId="2" fillId="0" fontId="11" numFmtId="0" xfId="0" applyAlignment="1" applyBorder="1" applyFont="1">
      <alignment horizontal="center" shrinkToFit="0" vertical="bottom" wrapText="1"/>
    </xf>
    <xf borderId="0" fillId="5" fontId="5" numFmtId="165" xfId="0" applyAlignment="1" applyFont="1" applyNumberFormat="1">
      <alignment horizontal="center" shrinkToFit="0" wrapText="1"/>
    </xf>
    <xf borderId="4" fillId="6" fontId="6" numFmtId="165" xfId="0" applyAlignment="1" applyBorder="1" applyFont="1" applyNumberFormat="1">
      <alignment horizontal="right" shrinkToFit="0" vertical="bottom" wrapText="1"/>
    </xf>
    <xf borderId="7" fillId="0" fontId="10" numFmtId="165" xfId="0" applyAlignment="1" applyBorder="1" applyFont="1" applyNumberFormat="1">
      <alignment vertical="bottom"/>
    </xf>
    <xf borderId="8" fillId="0" fontId="2" numFmtId="3" xfId="0" applyAlignment="1" applyBorder="1" applyFont="1" applyNumberFormat="1">
      <alignment horizontal="right" vertical="bottom"/>
    </xf>
    <xf borderId="9" fillId="7" fontId="2" numFmtId="3" xfId="0" applyAlignment="1" applyBorder="1" applyFont="1" applyNumberFormat="1">
      <alignment horizontal="right" vertical="bottom"/>
    </xf>
    <xf borderId="9" fillId="7" fontId="10" numFmtId="165" xfId="0" applyAlignment="1" applyBorder="1" applyFont="1" applyNumberFormat="1">
      <alignment horizontal="right" vertical="bottom"/>
    </xf>
    <xf borderId="0" fillId="8" fontId="12" numFmtId="3" xfId="0" applyAlignment="1" applyFont="1" applyNumberFormat="1">
      <alignment horizontal="center"/>
    </xf>
    <xf borderId="0" fillId="0" fontId="2" numFmtId="165" xfId="0" applyAlignment="1" applyFont="1" applyNumberFormat="1">
      <alignment vertical="bottom"/>
    </xf>
    <xf borderId="0" fillId="0" fontId="9" numFmtId="3" xfId="0" applyAlignment="1" applyFont="1" applyNumberFormat="1">
      <alignment vertical="bottom"/>
    </xf>
    <xf borderId="0" fillId="0" fontId="9" numFmtId="165" xfId="0" applyAlignment="1" applyFont="1" applyNumberFormat="1">
      <alignment vertical="bottom"/>
    </xf>
    <xf borderId="0" fillId="7" fontId="13" numFmtId="167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horizontal="right" vertical="bottom"/>
    </xf>
    <xf borderId="0" fillId="0" fontId="2" numFmtId="165" xfId="0" applyAlignment="1" applyFont="1" applyNumberFormat="1">
      <alignment horizontal="right" shrinkToFit="0" vertical="bottom" wrapText="1"/>
    </xf>
    <xf borderId="0" fillId="0" fontId="2" numFmtId="165" xfId="0" applyAlignment="1" applyFont="1" applyNumberFormat="1">
      <alignment horizontal="right" vertical="bottom"/>
    </xf>
    <xf borderId="0" fillId="0" fontId="4" numFmtId="0" xfId="0" applyAlignment="1" applyFont="1">
      <alignment readingOrder="0" shrinkToFit="0" vertical="center" wrapText="0"/>
    </xf>
    <xf borderId="0" fillId="0" fontId="4" numFmtId="0" xfId="0" applyAlignment="1" applyFont="1">
      <alignment horizontal="center" vertical="center"/>
    </xf>
    <xf borderId="0" fillId="0" fontId="4" numFmtId="164" xfId="0" applyAlignment="1" applyFont="1" applyNumberFormat="1">
      <alignment horizontal="center" vertical="center"/>
    </xf>
    <xf borderId="0" fillId="0" fontId="4" numFmtId="1" xfId="0" applyAlignment="1" applyFont="1" applyNumberFormat="1">
      <alignment horizontal="center" vertical="center"/>
    </xf>
    <xf borderId="0" fillId="0" fontId="4" numFmtId="0" xfId="0" applyAlignment="1" applyFont="1">
      <alignment vertical="center"/>
    </xf>
    <xf borderId="0" fillId="0" fontId="4" numFmtId="166" xfId="0" applyAlignment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center" shrinkToFit="0" wrapText="1"/>
    </xf>
  </cellXfs>
  <cellStyles count="1">
    <cellStyle xfId="0" name="Normal" builtinId="0"/>
  </cellStyles>
  <dxfs count="1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color rgb="FFFFFFFF"/>
      </font>
      <fill>
        <patternFill patternType="solid">
          <fgColor rgb="FFFF0000"/>
          <bgColor rgb="FFFF0000"/>
        </patternFill>
      </fill>
      <border/>
    </dxf>
    <dxf>
      <font>
        <color rgb="FF000000"/>
      </font>
      <fill>
        <patternFill patternType="solid">
          <fgColor rgb="FFE69138"/>
          <bgColor rgb="FFE69138"/>
        </patternFill>
      </fill>
      <border/>
    </dxf>
    <dxf>
      <font>
        <color rgb="FFFFFFFF"/>
      </font>
      <fill>
        <patternFill patternType="solid">
          <fgColor rgb="FF990000"/>
          <bgColor rgb="FF990000"/>
        </patternFill>
      </fill>
      <border/>
    </dxf>
    <dxf>
      <font>
        <color rgb="FFFFFFFF"/>
      </font>
      <fill>
        <patternFill patternType="solid">
          <fgColor rgb="FF15CE00"/>
          <bgColor rgb="FF15CE00"/>
        </patternFill>
      </fill>
      <border/>
    </dxf>
    <dxf>
      <font/>
      <fill>
        <patternFill patternType="solid">
          <fgColor rgb="FF00FFFF"/>
          <bgColor rgb="FF00FFFF"/>
        </patternFill>
      </fill>
      <border/>
    </dxf>
    <dxf>
      <font/>
      <fill>
        <patternFill patternType="solid">
          <fgColor rgb="FFFFD966"/>
          <bgColor rgb="FFFFD966"/>
        </patternFill>
      </fill>
      <border/>
    </dxf>
    <dxf>
      <font/>
      <fill>
        <patternFill patternType="solid">
          <fgColor rgb="FFF2B2E1"/>
          <bgColor rgb="FFF2B2E1"/>
        </patternFill>
      </fill>
      <border/>
    </dxf>
    <dxf>
      <font>
        <color rgb="FFFFFFFF"/>
      </font>
      <fill>
        <patternFill patternType="solid">
          <fgColor rgb="FF0070C0"/>
          <bgColor rgb="FF0070C0"/>
        </patternFill>
      </fill>
      <border/>
    </dxf>
    <dxf>
      <font>
        <color rgb="FFE69138"/>
      </font>
      <fill>
        <patternFill patternType="solid">
          <fgColor rgb="FFE69138"/>
          <bgColor rgb="FFE69138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  <tableStyles count="1">
    <tableStyle count="2" pivot="0" name="LOWER SOUTH COAST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:Q92" displayName="Table_1" name="Table_1" id="1">
  <tableColumns count="1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</tableColumns>
  <tableStyleInfo name="LOWER SOUTH COAS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 outlineLevelCol="1"/>
  <cols>
    <col customWidth="1" min="1" max="2" width="12.63"/>
    <col customWidth="1" min="3" max="3" width="7.63"/>
    <col customWidth="1" min="4" max="4" width="10.75"/>
    <col customWidth="1" min="5" max="5" width="4.25"/>
    <col customWidth="1" min="6" max="6" width="27.63"/>
    <col customWidth="1" min="7" max="7" width="13.63"/>
    <col customWidth="1" min="8" max="8" width="11.38"/>
    <col customWidth="1" min="9" max="9" width="19.88"/>
    <col customWidth="1" min="10" max="10" width="10.13"/>
    <col collapsed="1" customWidth="1" min="11" max="11" width="4.5"/>
    <col customWidth="1" hidden="1" min="12" max="18" width="0.38" outlineLevel="1"/>
    <col customWidth="1" min="19" max="19" width="24.0"/>
    <col customWidth="1" min="20" max="20" width="11.13"/>
    <col customWidth="1" min="21" max="22" width="7.63"/>
  </cols>
  <sheetData>
    <row r="1" ht="15.0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5">
        <f>Today()</f>
        <v>46236</v>
      </c>
      <c r="T1" s="6">
        <f>COUNTIFS($A$2:$A92, "&lt;&gt;", $P$2:$P92, "False")</f>
        <v>76</v>
      </c>
      <c r="U1" s="7">
        <f>COUNTIFS($Q$2:$Q92, "True", $P$2:$P92, "True")</f>
        <v>0</v>
      </c>
      <c r="V1" s="8">
        <f>DATEVALUE("01-01-"&amp;YEAR(S1))</f>
        <v>46023</v>
      </c>
    </row>
    <row r="2">
      <c r="A2" s="9" t="str">
        <f>IFERROR(__xludf.DUMMYFUNCTION("QUERY(IMPORTRANGE(""1s2846PiD-LoyoBfLNsFuq7yw0hC7cgOYRj5xs7gtmso"", ""MasterSheet!$A$2:$R""), ""SELECT * where Col3 = 'LSC' AND Col18 = False"",0)"),"Adamson")</f>
        <v>Adamson</v>
      </c>
      <c r="B2" s="9" t="str">
        <f>IFERROR(__xludf.DUMMYFUNCTION("""COMPUTED_VALUE"""),"Jimmy")</f>
        <v>Jimmy</v>
      </c>
      <c r="C2" s="10" t="str">
        <f>IFERROR(__xludf.DUMMYFUNCTION("""COMPUTED_VALUE"""),"LSC")</f>
        <v>LSC</v>
      </c>
      <c r="D2" s="11">
        <f>IFERROR(__xludf.DUMMYFUNCTION("""COMPUTED_VALUE"""),17182.0)</f>
        <v>17182</v>
      </c>
      <c r="E2" s="12">
        <f>IFERROR(__xludf.DUMMYFUNCTION("""COMPUTED_VALUE"""),79.0)</f>
        <v>79</v>
      </c>
      <c r="F2" s="13" t="str">
        <f>IFERROR(__xludf.DUMMYFUNCTION("""COMPUTED_VALUE"""),"adamsonk98@gmail.com")</f>
        <v>adamsonk98@gmail.com</v>
      </c>
      <c r="G2" s="14">
        <f>IFERROR(__xludf.DUMMYFUNCTION("""COMPUTED_VALUE"""),8.35771853E8)</f>
        <v>835771853</v>
      </c>
      <c r="H2" s="15">
        <f>IFERROR(__xludf.DUMMYFUNCTION("""COMPUTED_VALUE"""),2.700071216E9)</f>
        <v>2700071216</v>
      </c>
      <c r="I2" s="13" t="str">
        <f>IFERROR(__xludf.DUMMYFUNCTION("""COMPUTED_VALUE"""),"Port Shepstone CC")</f>
        <v>Port Shepstone CC</v>
      </c>
      <c r="J2" s="16">
        <f>IFERROR(__xludf.DUMMYFUNCTION("""COMPUTED_VALUE"""),45974.0)</f>
        <v>45974</v>
      </c>
      <c r="K2" s="17">
        <f>IFERROR(__xludf.DUMMYFUNCTION("""COMPUTED_VALUE"""),1.0)</f>
        <v>1</v>
      </c>
      <c r="L2" s="18" t="b">
        <f>IFERROR(__xludf.DUMMYFUNCTION("""COMPUTED_VALUE"""),FALSE)</f>
        <v>0</v>
      </c>
      <c r="M2" s="18" t="b">
        <f>IFERROR(__xludf.DUMMYFUNCTION("""COMPUTED_VALUE"""),FALSE)</f>
        <v>0</v>
      </c>
      <c r="N2" s="18" t="b">
        <f>IFERROR(__xludf.DUMMYFUNCTION("""COMPUTED_VALUE"""),FALSE)</f>
        <v>0</v>
      </c>
      <c r="O2" s="18" t="b">
        <f>IFERROR(__xludf.DUMMYFUNCTION("""COMPUTED_VALUE"""),FALSE)</f>
        <v>0</v>
      </c>
      <c r="P2" s="19" t="b">
        <f>IFERROR(__xludf.DUMMYFUNCTION("""COMPUTED_VALUE"""),FALSE)</f>
        <v>0</v>
      </c>
      <c r="Q2" s="20" t="b">
        <f>IFERROR(__xludf.DUMMYFUNCTION("""COMPUTED_VALUE"""),FALSE)</f>
        <v>0</v>
      </c>
      <c r="R2" s="18" t="b">
        <f>IFERROR(__xludf.DUMMYFUNCTION("""COMPUTED_VALUE"""),FALSE)</f>
        <v>0</v>
      </c>
      <c r="S2" s="21" t="s">
        <v>18</v>
      </c>
      <c r="T2" s="22" t="s">
        <v>19</v>
      </c>
      <c r="U2" s="23" t="s">
        <v>20</v>
      </c>
      <c r="V2" s="22" t="s">
        <v>21</v>
      </c>
    </row>
    <row r="3">
      <c r="A3" s="24" t="str">
        <f>IFERROR(__xludf.DUMMYFUNCTION("""COMPUTED_VALUE"""),"Auret")</f>
        <v>Auret</v>
      </c>
      <c r="B3" s="24" t="str">
        <f>IFERROR(__xludf.DUMMYFUNCTION("""COMPUTED_VALUE"""),"Billy")</f>
        <v>Billy</v>
      </c>
      <c r="C3" s="10" t="str">
        <f>IFERROR(__xludf.DUMMYFUNCTION("""COMPUTED_VALUE"""),"LSC")</f>
        <v>LSC</v>
      </c>
      <c r="D3" s="25">
        <f>IFERROR(__xludf.DUMMYFUNCTION("""COMPUTED_VALUE"""),21263.0)</f>
        <v>21263</v>
      </c>
      <c r="E3" s="26">
        <f>IFERROR(__xludf.DUMMYFUNCTION("""COMPUTED_VALUE"""),68.0)</f>
        <v>68</v>
      </c>
      <c r="F3" s="24" t="str">
        <f>IFERROR(__xludf.DUMMYFUNCTION("""COMPUTED_VALUE"""),"reagbilly@gmail.com")</f>
        <v>reagbilly@gmail.com</v>
      </c>
      <c r="G3" s="27">
        <f>IFERROR(__xludf.DUMMYFUNCTION("""COMPUTED_VALUE"""),8.26158228E8)</f>
        <v>826158228</v>
      </c>
      <c r="H3" s="28">
        <f>IFERROR(__xludf.DUMMYFUNCTION("""COMPUTED_VALUE"""),2.700346287E9)</f>
        <v>2700346287</v>
      </c>
      <c r="I3" s="24" t="str">
        <f>IFERROR(__xludf.DUMMYFUNCTION("""COMPUTED_VALUE"""),"Margate")</f>
        <v>Margate</v>
      </c>
      <c r="J3" s="29">
        <f>IFERROR(__xludf.DUMMYFUNCTION("""COMPUTED_VALUE"""),43073.0)</f>
        <v>43073</v>
      </c>
      <c r="K3" s="30">
        <f>IFERROR(__xludf.DUMMYFUNCTION("""COMPUTED_VALUE"""),9.0)</f>
        <v>9</v>
      </c>
      <c r="L3" s="31" t="b">
        <f>IFERROR(__xludf.DUMMYFUNCTION("""COMPUTED_VALUE"""),FALSE)</f>
        <v>0</v>
      </c>
      <c r="M3" s="31" t="b">
        <f>IFERROR(__xludf.DUMMYFUNCTION("""COMPUTED_VALUE"""),FALSE)</f>
        <v>0</v>
      </c>
      <c r="N3" s="31" t="b">
        <f>IFERROR(__xludf.DUMMYFUNCTION("""COMPUTED_VALUE"""),FALSE)</f>
        <v>0</v>
      </c>
      <c r="O3" s="31" t="b">
        <f>IFERROR(__xludf.DUMMYFUNCTION("""COMPUTED_VALUE"""),FALSE)</f>
        <v>0</v>
      </c>
      <c r="P3" s="31" t="b">
        <f>IFERROR(__xludf.DUMMYFUNCTION("""COMPUTED_VALUE"""),FALSE)</f>
        <v>0</v>
      </c>
      <c r="Q3" s="20" t="b">
        <f>IFERROR(__xludf.DUMMYFUNCTION("""COMPUTED_VALUE"""),FALSE)</f>
        <v>0</v>
      </c>
      <c r="R3" s="31" t="b">
        <f>IFERROR(__xludf.DUMMYFUNCTION("""COMPUTED_VALUE"""),FALSE)</f>
        <v>0</v>
      </c>
      <c r="S3" s="32" t="s">
        <v>22</v>
      </c>
      <c r="T3" s="33">
        <f>COUNTIFS($E$2:$E92, "&gt;=80", $P$2:$P92, "False")</f>
        <v>0</v>
      </c>
      <c r="U3" s="34">
        <f>COUNTIFS($E$2:$E92, "&gt;=80",$P$2:$P92, "True")</f>
        <v>0</v>
      </c>
      <c r="V3" s="35">
        <f t="shared" ref="V3:V7" si="1">T3+U3</f>
        <v>0</v>
      </c>
    </row>
    <row r="4">
      <c r="A4" s="13" t="str">
        <f>IFERROR(__xludf.DUMMYFUNCTION("""COMPUTED_VALUE"""),"Basday")</f>
        <v>Basday</v>
      </c>
      <c r="B4" s="13" t="str">
        <f>IFERROR(__xludf.DUMMYFUNCTION("""COMPUTED_VALUE"""),"Dick")</f>
        <v>Dick</v>
      </c>
      <c r="C4" s="10" t="str">
        <f>IFERROR(__xludf.DUMMYFUNCTION("""COMPUTED_VALUE"""),"LSC")</f>
        <v>LSC</v>
      </c>
      <c r="D4" s="11">
        <f>IFERROR(__xludf.DUMMYFUNCTION("""COMPUTED_VALUE"""),18771.0)</f>
        <v>18771</v>
      </c>
      <c r="E4" s="12">
        <f>IFERROR(__xludf.DUMMYFUNCTION("""COMPUTED_VALUE"""),75.0)</f>
        <v>75</v>
      </c>
      <c r="F4" s="13" t="str">
        <f>IFERROR(__xludf.DUMMYFUNCTION("""COMPUTED_VALUE"""),"dick@capital.co.za")</f>
        <v>dick@capital.co.za</v>
      </c>
      <c r="G4" s="14">
        <f>IFERROR(__xludf.DUMMYFUNCTION("""COMPUTED_VALUE"""),7.29025418E8)</f>
        <v>729025418</v>
      </c>
      <c r="H4" s="15">
        <f>IFERROR(__xludf.DUMMYFUNCTION("""COMPUTED_VALUE"""),2.700382742E9)</f>
        <v>2700382742</v>
      </c>
      <c r="I4" s="13" t="str">
        <f>IFERROR(__xludf.DUMMYFUNCTION("""COMPUTED_VALUE"""),"Port Shepstone CC")</f>
        <v>Port Shepstone CC</v>
      </c>
      <c r="J4" s="16">
        <f>IFERROR(__xludf.DUMMYFUNCTION("""COMPUTED_VALUE"""),45958.0)</f>
        <v>45958</v>
      </c>
      <c r="K4" s="17">
        <f>IFERROR(__xludf.DUMMYFUNCTION("""COMPUTED_VALUE"""),1.0)</f>
        <v>1</v>
      </c>
      <c r="L4" s="18" t="b">
        <f>IFERROR(__xludf.DUMMYFUNCTION("""COMPUTED_VALUE"""),FALSE)</f>
        <v>0</v>
      </c>
      <c r="M4" s="18" t="b">
        <f>IFERROR(__xludf.DUMMYFUNCTION("""COMPUTED_VALUE"""),FALSE)</f>
        <v>0</v>
      </c>
      <c r="N4" s="18" t="b">
        <f>IFERROR(__xludf.DUMMYFUNCTION("""COMPUTED_VALUE"""),FALSE)</f>
        <v>0</v>
      </c>
      <c r="O4" s="18" t="b">
        <f>IFERROR(__xludf.DUMMYFUNCTION("""COMPUTED_VALUE"""),FALSE)</f>
        <v>0</v>
      </c>
      <c r="P4" s="18" t="b">
        <f>IFERROR(__xludf.DUMMYFUNCTION("""COMPUTED_VALUE"""),FALSE)</f>
        <v>0</v>
      </c>
      <c r="Q4" s="20" t="b">
        <f>IFERROR(__xludf.DUMMYFUNCTION("""COMPUTED_VALUE"""),FALSE)</f>
        <v>0</v>
      </c>
      <c r="R4" s="18" t="b">
        <f>IFERROR(__xludf.DUMMYFUNCTION("""COMPUTED_VALUE"""),FALSE)</f>
        <v>0</v>
      </c>
      <c r="S4" s="36" t="s">
        <v>23</v>
      </c>
      <c r="T4" s="33">
        <f>COUNTIFS($L$2:$L92, "True", $P$2:$P92, "False")</f>
        <v>0</v>
      </c>
      <c r="U4" s="34">
        <f>COUNTIFS($L$1:$L92, "True", $P$1:$P92, "True")</f>
        <v>0</v>
      </c>
      <c r="V4" s="35">
        <f t="shared" si="1"/>
        <v>0</v>
      </c>
    </row>
    <row r="5">
      <c r="A5" s="9" t="str">
        <f>IFERROR(__xludf.DUMMYFUNCTION("""COMPUTED_VALUE"""),"Boonzaier")</f>
        <v>Boonzaier</v>
      </c>
      <c r="B5" s="9" t="str">
        <f>IFERROR(__xludf.DUMMYFUNCTION("""COMPUTED_VALUE"""),"Conrad")</f>
        <v>Conrad</v>
      </c>
      <c r="C5" s="10" t="str">
        <f>IFERROR(__xludf.DUMMYFUNCTION("""COMPUTED_VALUE"""),"LSC")</f>
        <v>LSC</v>
      </c>
      <c r="D5" s="25">
        <f>IFERROR(__xludf.DUMMYFUNCTION("""COMPUTED_VALUE"""),23430.0)</f>
        <v>23430</v>
      </c>
      <c r="E5" s="26">
        <f>IFERROR(__xludf.DUMMYFUNCTION("""COMPUTED_VALUE"""),62.0)</f>
        <v>62</v>
      </c>
      <c r="F5" s="24" t="str">
        <f>IFERROR(__xludf.DUMMYFUNCTION("""COMPUTED_VALUE"""),"boonzaierc@gmail.com")</f>
        <v>boonzaierc@gmail.com</v>
      </c>
      <c r="G5" s="27">
        <f>IFERROR(__xludf.DUMMYFUNCTION("""COMPUTED_VALUE"""),8.25793455E8)</f>
        <v>825793455</v>
      </c>
      <c r="H5" s="28">
        <f>IFERROR(__xludf.DUMMYFUNCTION("""COMPUTED_VALUE"""),2.700281413E9)</f>
        <v>2700281413</v>
      </c>
      <c r="I5" s="24" t="str">
        <f>IFERROR(__xludf.DUMMYFUNCTION("""COMPUTED_VALUE"""),"Margate CC")</f>
        <v>Margate CC</v>
      </c>
      <c r="J5" s="29">
        <f>IFERROR(__xludf.DUMMYFUNCTION("""COMPUTED_VALUE"""),45945.0)</f>
        <v>45945</v>
      </c>
      <c r="K5" s="30">
        <f>IFERROR(__xludf.DUMMYFUNCTION("""COMPUTED_VALUE"""),1.0)</f>
        <v>1</v>
      </c>
      <c r="L5" s="31" t="b">
        <f>IFERROR(__xludf.DUMMYFUNCTION("""COMPUTED_VALUE"""),FALSE)</f>
        <v>0</v>
      </c>
      <c r="M5" s="31" t="b">
        <f>IFERROR(__xludf.DUMMYFUNCTION("""COMPUTED_VALUE"""),FALSE)</f>
        <v>0</v>
      </c>
      <c r="N5" s="31" t="b">
        <f>IFERROR(__xludf.DUMMYFUNCTION("""COMPUTED_VALUE"""),FALSE)</f>
        <v>0</v>
      </c>
      <c r="O5" s="31" t="b">
        <f>IFERROR(__xludf.DUMMYFUNCTION("""COMPUTED_VALUE"""),FALSE)</f>
        <v>0</v>
      </c>
      <c r="P5" s="19" t="b">
        <f>IFERROR(__xludf.DUMMYFUNCTION("""COMPUTED_VALUE"""),FALSE)</f>
        <v>0</v>
      </c>
      <c r="Q5" s="20" t="b">
        <f>IFERROR(__xludf.DUMMYFUNCTION("""COMPUTED_VALUE"""),FALSE)</f>
        <v>0</v>
      </c>
      <c r="R5" s="37" t="b">
        <f>IFERROR(__xludf.DUMMYFUNCTION("""COMPUTED_VALUE"""),FALSE)</f>
        <v>0</v>
      </c>
      <c r="S5" s="38" t="s">
        <v>24</v>
      </c>
      <c r="T5" s="39">
        <f>COUNTIFS($M$2:$M92, "True", $P$2:$P92, "FALSE")</f>
        <v>0</v>
      </c>
      <c r="U5" s="34">
        <f>COUNTIFS($M$2:$M92, "True", $P$2:$P92, "True")</f>
        <v>0</v>
      </c>
      <c r="V5" s="35">
        <f t="shared" si="1"/>
        <v>0</v>
      </c>
    </row>
    <row r="6">
      <c r="A6" s="9" t="str">
        <f>IFERROR(__xludf.DUMMYFUNCTION("""COMPUTED_VALUE"""),"Bridges")</f>
        <v>Bridges</v>
      </c>
      <c r="B6" s="9" t="str">
        <f>IFERROR(__xludf.DUMMYFUNCTION("""COMPUTED_VALUE"""),"Quintin")</f>
        <v>Quintin</v>
      </c>
      <c r="C6" s="10" t="str">
        <f>IFERROR(__xludf.DUMMYFUNCTION("""COMPUTED_VALUE"""),"LSC")</f>
        <v>LSC</v>
      </c>
      <c r="D6" s="11"/>
      <c r="E6" s="12"/>
      <c r="F6" s="13" t="str">
        <f>IFERROR(__xludf.DUMMYFUNCTION("""COMPUTED_VALUE"""),"bridgesq2703@gmail.com")</f>
        <v>bridgesq2703@gmail.com</v>
      </c>
      <c r="G6" s="14">
        <f>IFERROR(__xludf.DUMMYFUNCTION("""COMPUTED_VALUE"""),7.82957125E8)</f>
        <v>782957125</v>
      </c>
      <c r="H6" s="15">
        <f>IFERROR(__xludf.DUMMYFUNCTION("""COMPUTED_VALUE"""),2.700258278E9)</f>
        <v>2700258278</v>
      </c>
      <c r="I6" s="13" t="str">
        <f>IFERROR(__xludf.DUMMYFUNCTION("""COMPUTED_VALUE"""),"Port Shepstone CC")</f>
        <v>Port Shepstone CC</v>
      </c>
      <c r="J6" s="16"/>
      <c r="K6" s="17">
        <f>IFERROR(__xludf.DUMMYFUNCTION("""COMPUTED_VALUE"""),127.0)</f>
        <v>127</v>
      </c>
      <c r="L6" s="18" t="b">
        <f>IFERROR(__xludf.DUMMYFUNCTION("""COMPUTED_VALUE"""),FALSE)</f>
        <v>0</v>
      </c>
      <c r="M6" s="18" t="b">
        <f>IFERROR(__xludf.DUMMYFUNCTION("""COMPUTED_VALUE"""),FALSE)</f>
        <v>0</v>
      </c>
      <c r="N6" s="18" t="b">
        <f>IFERROR(__xludf.DUMMYFUNCTION("""COMPUTED_VALUE"""),FALSE)</f>
        <v>0</v>
      </c>
      <c r="O6" s="18" t="b">
        <f>IFERROR(__xludf.DUMMYFUNCTION("""COMPUTED_VALUE"""),FALSE)</f>
        <v>0</v>
      </c>
      <c r="P6" s="19" t="b">
        <f>IFERROR(__xludf.DUMMYFUNCTION("""COMPUTED_VALUE"""),FALSE)</f>
        <v>0</v>
      </c>
      <c r="Q6" s="20" t="b">
        <f>IFERROR(__xludf.DUMMYFUNCTION("""COMPUTED_VALUE"""),FALSE)</f>
        <v>0</v>
      </c>
      <c r="R6" s="40" t="b">
        <f>IFERROR(__xludf.DUMMYFUNCTION("""COMPUTED_VALUE"""),FALSE)</f>
        <v>0</v>
      </c>
      <c r="S6" s="41" t="s">
        <v>25</v>
      </c>
      <c r="T6" s="39">
        <f>COUNTIFS($O$2:$O92, "True", $P$2:$P92, "False")</f>
        <v>0</v>
      </c>
      <c r="U6" s="34">
        <f>COUNTIFS($O$1:$O92, "True", $P$1:$P92, "True")</f>
        <v>0</v>
      </c>
      <c r="V6" s="35">
        <f t="shared" si="1"/>
        <v>0</v>
      </c>
    </row>
    <row r="7">
      <c r="A7" s="24" t="str">
        <f>IFERROR(__xludf.DUMMYFUNCTION("""COMPUTED_VALUE"""),"Clear")</f>
        <v>Clear</v>
      </c>
      <c r="B7" s="24" t="str">
        <f>IFERROR(__xludf.DUMMYFUNCTION("""COMPUTED_VALUE"""),"Peter")</f>
        <v>Peter</v>
      </c>
      <c r="C7" s="42" t="str">
        <f>IFERROR(__xludf.DUMMYFUNCTION("""COMPUTED_VALUE"""),"LSC")</f>
        <v>LSC</v>
      </c>
      <c r="D7" s="25">
        <f>IFERROR(__xludf.DUMMYFUNCTION("""COMPUTED_VALUE"""),20974.0)</f>
        <v>20974</v>
      </c>
      <c r="E7" s="12">
        <f>IFERROR(__xludf.DUMMYFUNCTION("""COMPUTED_VALUE"""),69.0)</f>
        <v>69</v>
      </c>
      <c r="F7" s="24" t="str">
        <f>IFERROR(__xludf.DUMMYFUNCTION("""COMPUTED_VALUE"""),"pclear56@gmail.com")</f>
        <v>pclear56@gmail.com</v>
      </c>
      <c r="G7" s="27">
        <f>IFERROR(__xludf.DUMMYFUNCTION("""COMPUTED_VALUE"""),7.28247826E8)</f>
        <v>728247826</v>
      </c>
      <c r="H7" s="28">
        <f>IFERROR(__xludf.DUMMYFUNCTION("""COMPUTED_VALUE"""),2.700188053E9)</f>
        <v>2700188053</v>
      </c>
      <c r="I7" s="24" t="str">
        <f>IFERROR(__xludf.DUMMYFUNCTION("""COMPUTED_VALUE"""),"Port Edward CC")</f>
        <v>Port Edward CC</v>
      </c>
      <c r="J7" s="29">
        <f>IFERROR(__xludf.DUMMYFUNCTION("""COMPUTED_VALUE"""),46051.0)</f>
        <v>46051</v>
      </c>
      <c r="K7" s="30">
        <f>IFERROR(__xludf.DUMMYFUNCTION("""COMPUTED_VALUE"""),0.0)</f>
        <v>0</v>
      </c>
      <c r="L7" s="31" t="b">
        <f>IFERROR(__xludf.DUMMYFUNCTION("""COMPUTED_VALUE"""),FALSE)</f>
        <v>0</v>
      </c>
      <c r="M7" s="31" t="b">
        <f>IFERROR(__xludf.DUMMYFUNCTION("""COMPUTED_VALUE"""),FALSE)</f>
        <v>0</v>
      </c>
      <c r="N7" s="31" t="b">
        <f>IFERROR(__xludf.DUMMYFUNCTION("""COMPUTED_VALUE"""),FALSE)</f>
        <v>0</v>
      </c>
      <c r="O7" s="31" t="b">
        <f>IFERROR(__xludf.DUMMYFUNCTION("""COMPUTED_VALUE"""),FALSE)</f>
        <v>0</v>
      </c>
      <c r="P7" s="31" t="b">
        <f>IFERROR(__xludf.DUMMYFUNCTION("""COMPUTED_VALUE"""),FALSE)</f>
        <v>0</v>
      </c>
      <c r="Q7" s="31" t="b">
        <f>IFERROR(__xludf.DUMMYFUNCTION("""COMPUTED_VALUE"""),FALSE)</f>
        <v>0</v>
      </c>
      <c r="R7" s="37" t="b">
        <f>IFERROR(__xludf.DUMMYFUNCTION("""COMPUTED_VALUE"""),FALSE)</f>
        <v>0</v>
      </c>
      <c r="S7" s="43" t="s">
        <v>26</v>
      </c>
      <c r="T7" s="39">
        <f>COUNTIFS($N$2:$N92, "True", $P$2:$P92, "False")</f>
        <v>0</v>
      </c>
      <c r="U7" s="34">
        <f>COUNTIFS($N$1:$N92, "True", $P$1:$P92, "True")</f>
        <v>0</v>
      </c>
      <c r="V7" s="35">
        <f t="shared" si="1"/>
        <v>0</v>
      </c>
    </row>
    <row r="8">
      <c r="A8" s="13" t="str">
        <f>IFERROR(__xludf.DUMMYFUNCTION("""COMPUTED_VALUE"""),"Crouch")</f>
        <v>Crouch</v>
      </c>
      <c r="B8" s="13" t="str">
        <f>IFERROR(__xludf.DUMMYFUNCTION("""COMPUTED_VALUE"""),"Howard")</f>
        <v>Howard</v>
      </c>
      <c r="C8" s="44" t="str">
        <f>IFERROR(__xludf.DUMMYFUNCTION("""COMPUTED_VALUE"""),"LSC")</f>
        <v>LSC</v>
      </c>
      <c r="D8" s="11">
        <f>IFERROR(__xludf.DUMMYFUNCTION("""COMPUTED_VALUE"""),22194.0)</f>
        <v>22194</v>
      </c>
      <c r="E8" s="12">
        <f>IFERROR(__xludf.DUMMYFUNCTION("""COMPUTED_VALUE"""),65.0)</f>
        <v>65</v>
      </c>
      <c r="F8" s="13" t="str">
        <f>IFERROR(__xludf.DUMMYFUNCTION("""COMPUTED_VALUE"""),"waco@sai.co.za")</f>
        <v>waco@sai.co.za</v>
      </c>
      <c r="G8" s="14">
        <f>IFERROR(__xludf.DUMMYFUNCTION("""COMPUTED_VALUE"""),7.32058796E8)</f>
        <v>732058796</v>
      </c>
      <c r="H8" s="15">
        <f>IFERROR(__xludf.DUMMYFUNCTION("""COMPUTED_VALUE"""),2.700102183E9)</f>
        <v>2700102183</v>
      </c>
      <c r="I8" s="13" t="str">
        <f>IFERROR(__xludf.DUMMYFUNCTION("""COMPUTED_VALUE"""),"Port Shepstone CC")</f>
        <v>Port Shepstone CC</v>
      </c>
      <c r="J8" s="16">
        <f>IFERROR(__xludf.DUMMYFUNCTION("""COMPUTED_VALUE"""),46057.0)</f>
        <v>46057</v>
      </c>
      <c r="K8" s="17">
        <f>IFERROR(__xludf.DUMMYFUNCTION("""COMPUTED_VALUE"""),0.0)</f>
        <v>0</v>
      </c>
      <c r="L8" s="18" t="b">
        <f>IFERROR(__xludf.DUMMYFUNCTION("""COMPUTED_VALUE"""),FALSE)</f>
        <v>0</v>
      </c>
      <c r="M8" s="18" t="b">
        <f>IFERROR(__xludf.DUMMYFUNCTION("""COMPUTED_VALUE"""),FALSE)</f>
        <v>0</v>
      </c>
      <c r="N8" s="18" t="b">
        <f>IFERROR(__xludf.DUMMYFUNCTION("""COMPUTED_VALUE"""),FALSE)</f>
        <v>0</v>
      </c>
      <c r="O8" s="18" t="b">
        <f>IFERROR(__xludf.DUMMYFUNCTION("""COMPUTED_VALUE"""),FALSE)</f>
        <v>0</v>
      </c>
      <c r="P8" s="18" t="b">
        <f>IFERROR(__xludf.DUMMYFUNCTION("""COMPUTED_VALUE"""),FALSE)</f>
        <v>0</v>
      </c>
      <c r="Q8" s="18" t="b">
        <f>IFERROR(__xludf.DUMMYFUNCTION("""COMPUTED_VALUE"""),FALSE)</f>
        <v>0</v>
      </c>
      <c r="R8" s="40" t="b">
        <f>IFERROR(__xludf.DUMMYFUNCTION("""COMPUTED_VALUE"""),FALSE)</f>
        <v>0</v>
      </c>
      <c r="S8" s="45" t="s">
        <v>27</v>
      </c>
      <c r="T8" s="46"/>
      <c r="U8" s="46"/>
      <c r="V8" s="46"/>
    </row>
    <row r="9">
      <c r="A9" s="24" t="str">
        <f>IFERROR(__xludf.DUMMYFUNCTION("""COMPUTED_VALUE"""),"Curnow")</f>
        <v>Curnow</v>
      </c>
      <c r="B9" s="24" t="str">
        <f>IFERROR(__xludf.DUMMYFUNCTION("""COMPUTED_VALUE"""),"Clayton")</f>
        <v>Clayton</v>
      </c>
      <c r="C9" s="10" t="str">
        <f>IFERROR(__xludf.DUMMYFUNCTION("""COMPUTED_VALUE"""),"LSC")</f>
        <v>LSC</v>
      </c>
      <c r="D9" s="25">
        <f>IFERROR(__xludf.DUMMYFUNCTION("""COMPUTED_VALUE"""),26375.0)</f>
        <v>26375</v>
      </c>
      <c r="E9" s="26">
        <f>IFERROR(__xludf.DUMMYFUNCTION("""COMPUTED_VALUE"""),54.0)</f>
        <v>54</v>
      </c>
      <c r="F9" s="24" t="str">
        <f>IFERROR(__xludf.DUMMYFUNCTION("""COMPUTED_VALUE"""),"clayton@curnowkzn.co.za")</f>
        <v>clayton@curnowkzn.co.za</v>
      </c>
      <c r="G9" s="27">
        <f>IFERROR(__xludf.DUMMYFUNCTION("""COMPUTED_VALUE"""),7.14978751E8)</f>
        <v>714978751</v>
      </c>
      <c r="H9" s="28"/>
      <c r="I9" s="24" t="str">
        <f>IFERROR(__xludf.DUMMYFUNCTION("""COMPUTED_VALUE"""),"Port Shepstone CC")</f>
        <v>Port Shepstone CC</v>
      </c>
      <c r="J9" s="29">
        <f>IFERROR(__xludf.DUMMYFUNCTION("""COMPUTED_VALUE"""),46043.0)</f>
        <v>46043</v>
      </c>
      <c r="K9" s="30">
        <f>IFERROR(__xludf.DUMMYFUNCTION("""COMPUTED_VALUE"""),0.0)</f>
        <v>0</v>
      </c>
      <c r="L9" s="31" t="b">
        <f>IFERROR(__xludf.DUMMYFUNCTION("""COMPUTED_VALUE"""),FALSE)</f>
        <v>0</v>
      </c>
      <c r="M9" s="31" t="b">
        <f>IFERROR(__xludf.DUMMYFUNCTION("""COMPUTED_VALUE"""),FALSE)</f>
        <v>0</v>
      </c>
      <c r="N9" s="31" t="b">
        <f>IFERROR(__xludf.DUMMYFUNCTION("""COMPUTED_VALUE"""),FALSE)</f>
        <v>0</v>
      </c>
      <c r="O9" s="31" t="b">
        <f>IFERROR(__xludf.DUMMYFUNCTION("""COMPUTED_VALUE"""),FALSE)</f>
        <v>0</v>
      </c>
      <c r="P9" s="31" t="b">
        <f>IFERROR(__xludf.DUMMYFUNCTION("""COMPUTED_VALUE"""),FALSE)</f>
        <v>0</v>
      </c>
      <c r="Q9" s="20" t="b">
        <f>IFERROR(__xludf.DUMMYFUNCTION("""COMPUTED_VALUE"""),FALSE)</f>
        <v>0</v>
      </c>
      <c r="R9" s="37" t="b">
        <f>IFERROR(__xludf.DUMMYFUNCTION("""COMPUTED_VALUE"""),FALSE)</f>
        <v>0</v>
      </c>
      <c r="S9" s="47" t="s">
        <v>28</v>
      </c>
      <c r="T9" s="39">
        <f>COUNTIFS($E$2:$E92,"&lt;80",$L$2:$L92, "False",  $M$2:$M92, "False",  $P$2:$P92, "False")</f>
        <v>69</v>
      </c>
      <c r="U9" s="39">
        <f>COUNTIFS($E$2:$E92,"&lt;80",$L$2:$L92, "False",  $M$2:$M92, "False",  $P$2:$P92, "True")</f>
        <v>15</v>
      </c>
      <c r="V9" s="48">
        <f t="shared" ref="V9:V14" si="2">T9+U9</f>
        <v>84</v>
      </c>
    </row>
    <row r="10">
      <c r="A10" s="13" t="str">
        <f>IFERROR(__xludf.DUMMYFUNCTION("""COMPUTED_VALUE"""),"Curnow")</f>
        <v>Curnow</v>
      </c>
      <c r="B10" s="13" t="str">
        <f>IFERROR(__xludf.DUMMYFUNCTION("""COMPUTED_VALUE"""),"Craig")</f>
        <v>Craig</v>
      </c>
      <c r="C10" s="10" t="str">
        <f>IFERROR(__xludf.DUMMYFUNCTION("""COMPUTED_VALUE"""),"LSC")</f>
        <v>LSC</v>
      </c>
      <c r="D10" s="11">
        <f>IFERROR(__xludf.DUMMYFUNCTION("""COMPUTED_VALUE"""),27011.0)</f>
        <v>27011</v>
      </c>
      <c r="E10" s="12">
        <f>IFERROR(__xludf.DUMMYFUNCTION("""COMPUTED_VALUE"""),52.0)</f>
        <v>52</v>
      </c>
      <c r="F10" s="13" t="str">
        <f>IFERROR(__xludf.DUMMYFUNCTION("""COMPUTED_VALUE"""),"craig@curnowkzn.co.za")</f>
        <v>craig@curnowkzn.co.za</v>
      </c>
      <c r="G10" s="14">
        <f>IFERROR(__xludf.DUMMYFUNCTION("""COMPUTED_VALUE"""),8.20620097E8)</f>
        <v>820620097</v>
      </c>
      <c r="H10" s="15"/>
      <c r="I10" s="13" t="str">
        <f>IFERROR(__xludf.DUMMYFUNCTION("""COMPUTED_VALUE"""),"Port Shepstone CC")</f>
        <v>Port Shepstone CC</v>
      </c>
      <c r="J10" s="16">
        <f>IFERROR(__xludf.DUMMYFUNCTION("""COMPUTED_VALUE"""),46043.0)</f>
        <v>46043</v>
      </c>
      <c r="K10" s="17">
        <f>IFERROR(__xludf.DUMMYFUNCTION("""COMPUTED_VALUE"""),0.0)</f>
        <v>0</v>
      </c>
      <c r="L10" s="18" t="b">
        <f>IFERROR(__xludf.DUMMYFUNCTION("""COMPUTED_VALUE"""),FALSE)</f>
        <v>0</v>
      </c>
      <c r="M10" s="18" t="b">
        <f>IFERROR(__xludf.DUMMYFUNCTION("""COMPUTED_VALUE"""),FALSE)</f>
        <v>0</v>
      </c>
      <c r="N10" s="18" t="b">
        <f>IFERROR(__xludf.DUMMYFUNCTION("""COMPUTED_VALUE"""),FALSE)</f>
        <v>0</v>
      </c>
      <c r="O10" s="18" t="b">
        <f>IFERROR(__xludf.DUMMYFUNCTION("""COMPUTED_VALUE"""),FALSE)</f>
        <v>0</v>
      </c>
      <c r="P10" s="18" t="b">
        <f>IFERROR(__xludf.DUMMYFUNCTION("""COMPUTED_VALUE"""),FALSE)</f>
        <v>0</v>
      </c>
      <c r="Q10" s="20" t="b">
        <f>IFERROR(__xludf.DUMMYFUNCTION("""COMPUTED_VALUE"""),FALSE)</f>
        <v>0</v>
      </c>
      <c r="R10" s="40" t="b">
        <f>IFERROR(__xludf.DUMMYFUNCTION("""COMPUTED_VALUE"""),FALSE)</f>
        <v>0</v>
      </c>
      <c r="S10" s="47" t="s">
        <v>29</v>
      </c>
      <c r="T10" s="39">
        <f>COUNTIFS($E$2:$E92,"&lt;80",$L$2:$L92, "False",  $M$2:$M92, "False", $P$2:$P92, "False", Q2:Q92, "True")</f>
        <v>0</v>
      </c>
      <c r="U10" s="49">
        <f t="shared" ref="U10:U11" si="3">COUNTIFS($E$2:$E92,"&lt;80",$L$2:$L92, "False",  $M$2:$M92, "False", $P$2:$P92, "True", $Q$2:$Q92, "True")</f>
        <v>0</v>
      </c>
      <c r="V10" s="50">
        <f t="shared" si="2"/>
        <v>0</v>
      </c>
    </row>
    <row r="11">
      <c r="A11" s="24" t="str">
        <f>IFERROR(__xludf.DUMMYFUNCTION("""COMPUTED_VALUE"""),"Curnow")</f>
        <v>Curnow</v>
      </c>
      <c r="B11" s="24" t="str">
        <f>IFERROR(__xludf.DUMMYFUNCTION("""COMPUTED_VALUE"""),"Martin")</f>
        <v>Martin</v>
      </c>
      <c r="C11" s="10" t="str">
        <f>IFERROR(__xludf.DUMMYFUNCTION("""COMPUTED_VALUE"""),"LSC")</f>
        <v>LSC</v>
      </c>
      <c r="D11" s="25">
        <f>IFERROR(__xludf.DUMMYFUNCTION("""COMPUTED_VALUE"""),25591.0)</f>
        <v>25591</v>
      </c>
      <c r="E11" s="26">
        <f>IFERROR(__xludf.DUMMYFUNCTION("""COMPUTED_VALUE"""),56.0)</f>
        <v>56</v>
      </c>
      <c r="F11" s="24" t="str">
        <f>IFERROR(__xludf.DUMMYFUNCTION("""COMPUTED_VALUE"""),"martin@curnowkzn.co.za")</f>
        <v>martin@curnowkzn.co.za</v>
      </c>
      <c r="G11" s="27">
        <f>IFERROR(__xludf.DUMMYFUNCTION("""COMPUTED_VALUE"""),6.36836137E8)</f>
        <v>636836137</v>
      </c>
      <c r="H11" s="28"/>
      <c r="I11" s="24" t="str">
        <f>IFERROR(__xludf.DUMMYFUNCTION("""COMPUTED_VALUE"""),"Port Shepstone CC")</f>
        <v>Port Shepstone CC</v>
      </c>
      <c r="J11" s="29">
        <f>IFERROR(__xludf.DUMMYFUNCTION("""COMPUTED_VALUE"""),46043.0)</f>
        <v>46043</v>
      </c>
      <c r="K11" s="30">
        <f>IFERROR(__xludf.DUMMYFUNCTION("""COMPUTED_VALUE"""),0.0)</f>
        <v>0</v>
      </c>
      <c r="L11" s="31" t="b">
        <f>IFERROR(__xludf.DUMMYFUNCTION("""COMPUTED_VALUE"""),FALSE)</f>
        <v>0</v>
      </c>
      <c r="M11" s="31" t="b">
        <f>IFERROR(__xludf.DUMMYFUNCTION("""COMPUTED_VALUE"""),FALSE)</f>
        <v>0</v>
      </c>
      <c r="N11" s="31" t="b">
        <f>IFERROR(__xludf.DUMMYFUNCTION("""COMPUTED_VALUE"""),FALSE)</f>
        <v>0</v>
      </c>
      <c r="O11" s="31" t="b">
        <f>IFERROR(__xludf.DUMMYFUNCTION("""COMPUTED_VALUE"""),FALSE)</f>
        <v>0</v>
      </c>
      <c r="P11" s="31" t="b">
        <f>IFERROR(__xludf.DUMMYFUNCTION("""COMPUTED_VALUE"""),FALSE)</f>
        <v>0</v>
      </c>
      <c r="Q11" s="20" t="b">
        <f>IFERROR(__xludf.DUMMYFUNCTION("""COMPUTED_VALUE"""),FALSE)</f>
        <v>0</v>
      </c>
      <c r="R11" s="37" t="b">
        <f>IFERROR(__xludf.DUMMYFUNCTION("""COMPUTED_VALUE"""),FALSE)</f>
        <v>0</v>
      </c>
      <c r="S11" s="51" t="s">
        <v>30</v>
      </c>
      <c r="T11" s="39">
        <f>COUNTIFS($E$2:$E92,"&lt;80",$L$2:$L92, "False",  $M$2:$M92, "False", $P$2:$P92, "False", $Q$2:$Q92, "True")</f>
        <v>0</v>
      </c>
      <c r="U11" s="39">
        <f t="shared" si="3"/>
        <v>0</v>
      </c>
      <c r="V11" s="48">
        <f t="shared" si="2"/>
        <v>0</v>
      </c>
    </row>
    <row r="12">
      <c r="A12" s="13" t="str">
        <f>IFERROR(__xludf.DUMMYFUNCTION("""COMPUTED_VALUE"""),"De Goede")</f>
        <v>De Goede</v>
      </c>
      <c r="B12" s="13" t="str">
        <f>IFERROR(__xludf.DUMMYFUNCTION("""COMPUTED_VALUE"""),"Jeremy")</f>
        <v>Jeremy</v>
      </c>
      <c r="C12" s="44" t="str">
        <f>IFERROR(__xludf.DUMMYFUNCTION("""COMPUTED_VALUE"""),"LSC")</f>
        <v>LSC</v>
      </c>
      <c r="D12" s="11">
        <f>IFERROR(__xludf.DUMMYFUNCTION("""COMPUTED_VALUE"""),19527.0)</f>
        <v>19527</v>
      </c>
      <c r="E12" s="26">
        <f>IFERROR(__xludf.DUMMYFUNCTION("""COMPUTED_VALUE"""),73.0)</f>
        <v>73</v>
      </c>
      <c r="F12" s="13" t="str">
        <f>IFERROR(__xludf.DUMMYFUNCTION("""COMPUTED_VALUE"""),"habaluti@gmail.com")</f>
        <v>habaluti@gmail.com</v>
      </c>
      <c r="G12" s="14">
        <f>IFERROR(__xludf.DUMMYFUNCTION("""COMPUTED_VALUE"""),7.36166578E8)</f>
        <v>736166578</v>
      </c>
      <c r="H12" s="15">
        <f>IFERROR(__xludf.DUMMYFUNCTION("""COMPUTED_VALUE"""),2.700338587E9)</f>
        <v>2700338587</v>
      </c>
      <c r="I12" s="13" t="str">
        <f>IFERROR(__xludf.DUMMYFUNCTION("""COMPUTED_VALUE"""),"Port Edward CC")</f>
        <v>Port Edward CC</v>
      </c>
      <c r="J12" s="16">
        <f>IFERROR(__xludf.DUMMYFUNCTION("""COMPUTED_VALUE"""),46051.0)</f>
        <v>46051</v>
      </c>
      <c r="K12" s="17">
        <f>IFERROR(__xludf.DUMMYFUNCTION("""COMPUTED_VALUE"""),0.0)</f>
        <v>0</v>
      </c>
      <c r="L12" s="18" t="b">
        <f>IFERROR(__xludf.DUMMYFUNCTION("""COMPUTED_VALUE"""),FALSE)</f>
        <v>0</v>
      </c>
      <c r="M12" s="18" t="b">
        <f>IFERROR(__xludf.DUMMYFUNCTION("""COMPUTED_VALUE"""),FALSE)</f>
        <v>0</v>
      </c>
      <c r="N12" s="18" t="b">
        <f>IFERROR(__xludf.DUMMYFUNCTION("""COMPUTED_VALUE"""),FALSE)</f>
        <v>0</v>
      </c>
      <c r="O12" s="18" t="b">
        <f>IFERROR(__xludf.DUMMYFUNCTION("""COMPUTED_VALUE"""),FALSE)</f>
        <v>0</v>
      </c>
      <c r="P12" s="18" t="b">
        <f>IFERROR(__xludf.DUMMYFUNCTION("""COMPUTED_VALUE"""),FALSE)</f>
        <v>0</v>
      </c>
      <c r="Q12" s="18" t="b">
        <f>IFERROR(__xludf.DUMMYFUNCTION("""COMPUTED_VALUE"""),FALSE)</f>
        <v>0</v>
      </c>
      <c r="R12" s="40" t="b">
        <f>IFERROR(__xludf.DUMMYFUNCTION("""COMPUTED_VALUE"""),FALSE)</f>
        <v>0</v>
      </c>
      <c r="S12" s="52" t="str">
        <f>"New Members for "&amp;YEAR(S1)</f>
        <v>New Members for 2026</v>
      </c>
      <c r="T12" s="39">
        <f>COUNTIFS($J$2:J92,"&gt;="&amp;$V$1,$J$2:$J92,"&lt;="&amp;$S$1, K2:K92,"=0", $P$2:$P92, "False")</f>
        <v>23</v>
      </c>
      <c r="U12" s="39">
        <f>COUNTIFS($J$2:J92,"&gt;="&amp;$V$1,$J$2:$J92,"&lt;="&amp;$S$1,K2:K92,"=0", $P$2:$P92, "True")</f>
        <v>1</v>
      </c>
      <c r="V12" s="48">
        <f t="shared" si="2"/>
        <v>24</v>
      </c>
    </row>
    <row r="13">
      <c r="A13" s="24" t="str">
        <f>IFERROR(__xludf.DUMMYFUNCTION("""COMPUTED_VALUE"""),"Deley")</f>
        <v>Deley</v>
      </c>
      <c r="B13" s="24" t="str">
        <f>IFERROR(__xludf.DUMMYFUNCTION("""COMPUTED_VALUE"""),"Kevin")</f>
        <v>Kevin</v>
      </c>
      <c r="C13" s="10" t="str">
        <f>IFERROR(__xludf.DUMMYFUNCTION("""COMPUTED_VALUE"""),"LSC")</f>
        <v>LSC</v>
      </c>
      <c r="D13" s="25">
        <f>IFERROR(__xludf.DUMMYFUNCTION("""COMPUTED_VALUE"""),17634.0)</f>
        <v>17634</v>
      </c>
      <c r="E13" s="26">
        <f>IFERROR(__xludf.DUMMYFUNCTION("""COMPUTED_VALUE"""),78.0)</f>
        <v>78</v>
      </c>
      <c r="F13" s="24" t="str">
        <f>IFERROR(__xludf.DUMMYFUNCTION("""COMPUTED_VALUE"""),"kevindeley@gmail.com")</f>
        <v>kevindeley@gmail.com</v>
      </c>
      <c r="G13" s="27">
        <f>IFERROR(__xludf.DUMMYFUNCTION("""COMPUTED_VALUE"""),8.25475883E8)</f>
        <v>825475883</v>
      </c>
      <c r="H13" s="28">
        <f>IFERROR(__xludf.DUMMYFUNCTION("""COMPUTED_VALUE"""),2.700064983E9)</f>
        <v>2700064983</v>
      </c>
      <c r="I13" s="24" t="str">
        <f>IFERROR(__xludf.DUMMYFUNCTION("""COMPUTED_VALUE"""),"Margate")</f>
        <v>Margate</v>
      </c>
      <c r="J13" s="29">
        <f>IFERROR(__xludf.DUMMYFUNCTION("""COMPUTED_VALUE"""),45679.0)</f>
        <v>45679</v>
      </c>
      <c r="K13" s="30">
        <f>IFERROR(__xludf.DUMMYFUNCTION("""COMPUTED_VALUE"""),1.0)</f>
        <v>1</v>
      </c>
      <c r="L13" s="31" t="b">
        <f>IFERROR(__xludf.DUMMYFUNCTION("""COMPUTED_VALUE"""),FALSE)</f>
        <v>0</v>
      </c>
      <c r="M13" s="31" t="b">
        <f>IFERROR(__xludf.DUMMYFUNCTION("""COMPUTED_VALUE"""),FALSE)</f>
        <v>0</v>
      </c>
      <c r="N13" s="31" t="b">
        <f>IFERROR(__xludf.DUMMYFUNCTION("""COMPUTED_VALUE"""),FALSE)</f>
        <v>0</v>
      </c>
      <c r="O13" s="31" t="b">
        <f>IFERROR(__xludf.DUMMYFUNCTION("""COMPUTED_VALUE"""),FALSE)</f>
        <v>0</v>
      </c>
      <c r="P13" s="31" t="b">
        <f>IFERROR(__xludf.DUMMYFUNCTION("""COMPUTED_VALUE"""),FALSE)</f>
        <v>0</v>
      </c>
      <c r="Q13" s="20" t="b">
        <f>IFERROR(__xludf.DUMMYFUNCTION("""COMPUTED_VALUE"""),FALSE)</f>
        <v>0</v>
      </c>
      <c r="R13" s="53" t="b">
        <f>IFERROR(__xludf.DUMMYFUNCTION("""COMPUTED_VALUE"""),FALSE)</f>
        <v>0</v>
      </c>
      <c r="S13" s="54" t="s">
        <v>31</v>
      </c>
      <c r="T13" s="55">
        <f>COUNTIFS($J$2:J92,"&gt;="&amp;$V$1,$J$2:$J92,"&lt;="&amp;$S$1,$E$2:$E92,"&lt;81",$L$2:$L92, "False",  $M$2:$M92, "False",  $P$2:$P92, "False", $Q$2:$Q92,"True")</f>
        <v>0</v>
      </c>
      <c r="U13" s="56">
        <f>COUNTIFS($J$2:J92,"&gt;="&amp;$V$1,$J$2:$J92,"&lt;="&amp;$S$1,$E$2:$E92,"&lt;81",$L$2:$L92, "False",  $M$2:$M92, "False",  $P$2:$P92, "True", $Q$2:$Q92,"True")</f>
        <v>0</v>
      </c>
      <c r="V13" s="57">
        <f t="shared" si="2"/>
        <v>0</v>
      </c>
    </row>
    <row r="14">
      <c r="A14" s="13" t="str">
        <f>IFERROR(__xludf.DUMMYFUNCTION("""COMPUTED_VALUE"""),"Deley")</f>
        <v>Deley</v>
      </c>
      <c r="B14" s="13" t="str">
        <f>IFERROR(__xludf.DUMMYFUNCTION("""COMPUTED_VALUE"""),"Veni")</f>
        <v>Veni</v>
      </c>
      <c r="C14" s="10" t="str">
        <f>IFERROR(__xludf.DUMMYFUNCTION("""COMPUTED_VALUE"""),"LSC")</f>
        <v>LSC</v>
      </c>
      <c r="D14" s="11">
        <f>IFERROR(__xludf.DUMMYFUNCTION("""COMPUTED_VALUE"""),22643.0)</f>
        <v>22643</v>
      </c>
      <c r="E14" s="12">
        <f>IFERROR(__xludf.DUMMYFUNCTION("""COMPUTED_VALUE"""),64.0)</f>
        <v>64</v>
      </c>
      <c r="F14" s="13" t="str">
        <f>IFERROR(__xludf.DUMMYFUNCTION("""COMPUTED_VALUE"""),"venideley@gmail.com")</f>
        <v>venideley@gmail.com</v>
      </c>
      <c r="G14" s="14">
        <f>IFERROR(__xludf.DUMMYFUNCTION("""COMPUTED_VALUE"""),8.29288489E8)</f>
        <v>829288489</v>
      </c>
      <c r="H14" s="15">
        <f>IFERROR(__xludf.DUMMYFUNCTION("""COMPUTED_VALUE"""),2.70035862E9)</f>
        <v>2700358620</v>
      </c>
      <c r="I14" s="13" t="str">
        <f>IFERROR(__xludf.DUMMYFUNCTION("""COMPUTED_VALUE"""),"Margate")</f>
        <v>Margate</v>
      </c>
      <c r="J14" s="16">
        <f>IFERROR(__xludf.DUMMYFUNCTION("""COMPUTED_VALUE"""),45685.0)</f>
        <v>45685</v>
      </c>
      <c r="K14" s="17">
        <f>IFERROR(__xludf.DUMMYFUNCTION("""COMPUTED_VALUE"""),1.0)</f>
        <v>1</v>
      </c>
      <c r="L14" s="18" t="b">
        <f>IFERROR(__xludf.DUMMYFUNCTION("""COMPUTED_VALUE"""),FALSE)</f>
        <v>0</v>
      </c>
      <c r="M14" s="18" t="b">
        <f>IFERROR(__xludf.DUMMYFUNCTION("""COMPUTED_VALUE"""),FALSE)</f>
        <v>0</v>
      </c>
      <c r="N14" s="18" t="b">
        <f>IFERROR(__xludf.DUMMYFUNCTION("""COMPUTED_VALUE"""),FALSE)</f>
        <v>0</v>
      </c>
      <c r="O14" s="18" t="b">
        <f>IFERROR(__xludf.DUMMYFUNCTION("""COMPUTED_VALUE"""),FALSE)</f>
        <v>0</v>
      </c>
      <c r="P14" s="18" t="b">
        <f>IFERROR(__xludf.DUMMYFUNCTION("""COMPUTED_VALUE"""),TRUE)</f>
        <v>1</v>
      </c>
      <c r="Q14" s="20" t="b">
        <f>IFERROR(__xludf.DUMMYFUNCTION("""COMPUTED_VALUE"""),FALSE)</f>
        <v>0</v>
      </c>
      <c r="R14" s="40" t="b">
        <f>IFERROR(__xludf.DUMMYFUNCTION("""COMPUTED_VALUE"""),FALSE)</f>
        <v>0</v>
      </c>
      <c r="S14" s="58" t="s">
        <v>32</v>
      </c>
      <c r="T14" s="59">
        <f>SUM(COUNTIF($P$2:$P92, "False"))</f>
        <v>76</v>
      </c>
      <c r="U14" s="39">
        <f>SUM(COUNTIF($P$2:$P92, "True"))</f>
        <v>15</v>
      </c>
      <c r="V14" s="60">
        <f t="shared" si="2"/>
        <v>91</v>
      </c>
    </row>
    <row r="15">
      <c r="A15" s="24" t="str">
        <f>IFERROR(__xludf.DUMMYFUNCTION("""COMPUTED_VALUE"""),"Erasmus")</f>
        <v>Erasmus</v>
      </c>
      <c r="B15" s="24" t="str">
        <f>IFERROR(__xludf.DUMMYFUNCTION("""COMPUTED_VALUE"""),"Lesley")</f>
        <v>Lesley</v>
      </c>
      <c r="C15" s="42" t="str">
        <f>IFERROR(__xludf.DUMMYFUNCTION("""COMPUTED_VALUE"""),"LSC")</f>
        <v>LSC</v>
      </c>
      <c r="D15" s="25">
        <f>IFERROR(__xludf.DUMMYFUNCTION("""COMPUTED_VALUE"""),19571.0)</f>
        <v>19571</v>
      </c>
      <c r="E15" s="12">
        <f>IFERROR(__xludf.DUMMYFUNCTION("""COMPUTED_VALUE"""),73.0)</f>
        <v>73</v>
      </c>
      <c r="F15" s="24" t="str">
        <f>IFERROR(__xludf.DUMMYFUNCTION("""COMPUTED_VALUE"""),"joleserasmus@gmail.com")</f>
        <v>joleserasmus@gmail.com</v>
      </c>
      <c r="G15" s="27">
        <f>IFERROR(__xludf.DUMMYFUNCTION("""COMPUTED_VALUE"""),8.28441361E8)</f>
        <v>828441361</v>
      </c>
      <c r="H15" s="28">
        <f>IFERROR(__xludf.DUMMYFUNCTION("""COMPUTED_VALUE"""),2.700069618E9)</f>
        <v>2700069618</v>
      </c>
      <c r="I15" s="24" t="str">
        <f>IFERROR(__xludf.DUMMYFUNCTION("""COMPUTED_VALUE"""),"Margate CC")</f>
        <v>Margate CC</v>
      </c>
      <c r="J15" s="29">
        <f>IFERROR(__xludf.DUMMYFUNCTION("""COMPUTED_VALUE"""),45968.0)</f>
        <v>45968</v>
      </c>
      <c r="K15" s="30">
        <f>IFERROR(__xludf.DUMMYFUNCTION("""COMPUTED_VALUE"""),1.0)</f>
        <v>1</v>
      </c>
      <c r="L15" s="31" t="b">
        <f>IFERROR(__xludf.DUMMYFUNCTION("""COMPUTED_VALUE"""),FALSE)</f>
        <v>0</v>
      </c>
      <c r="M15" s="31" t="b">
        <f>IFERROR(__xludf.DUMMYFUNCTION("""COMPUTED_VALUE"""),FALSE)</f>
        <v>0</v>
      </c>
      <c r="N15" s="31" t="b">
        <f>IFERROR(__xludf.DUMMYFUNCTION("""COMPUTED_VALUE"""),FALSE)</f>
        <v>0</v>
      </c>
      <c r="O15" s="31" t="b">
        <f>IFERROR(__xludf.DUMMYFUNCTION("""COMPUTED_VALUE"""),FALSE)</f>
        <v>0</v>
      </c>
      <c r="P15" s="31" t="b">
        <f>IFERROR(__xludf.DUMMYFUNCTION("""COMPUTED_VALUE"""),FALSE)</f>
        <v>0</v>
      </c>
      <c r="Q15" s="31" t="b">
        <f>IFERROR(__xludf.DUMMYFUNCTION("""COMPUTED_VALUE"""),FALSE)</f>
        <v>0</v>
      </c>
      <c r="R15" s="37" t="b">
        <f>IFERROR(__xludf.DUMMYFUNCTION("""COMPUTED_VALUE"""),FALSE)</f>
        <v>0</v>
      </c>
      <c r="S15" s="61"/>
      <c r="T15" s="62">
        <f>COUNTIFS($J$2:$J92,"&lt;"&amp;$S$1,$J$2:J92,"&gt;="&amp;$V$1,$E$2:$E92,"=80",$L$2:$L92, "False",$M$2:$M92, "false", $O$2:$O92, "False")</f>
        <v>0</v>
      </c>
      <c r="U15" s="63">
        <f>COUNTIFS($E$2:$E92,"&gt;=80",$M$2:$M92, "true")</f>
        <v>0</v>
      </c>
      <c r="V15" s="63">
        <f>IFERROR(__xludf.DUMMYFUNCTION("COUNTIFS(IMPORTRANGE(""1s2846PiD-LoyoBfLNsFuq7yw0hC7cgOYRj5xs7gtmso"",""MasterSheet!$C$3:$C""),""BOL"",IMPORTRANGE(""1s2846PiD-LoyoBfLNsFuq7yw0hC7cgOYRj5xs7gtmso"",""MasterSheet!E3:E""),""&lt;=81"",IMPORTRANGE(""1s2846PiD-LoyoBfLNsFuq7yw0hC7cgOYRj5xs7gtmso"""&amp;",""MasterSheet!$L$3:$L""),""False"",IMPORTRANGE(""1s2846PiD-LoyoBfLNsFuq7yw0hC7cgOYRj5xs7gtmso"",""MasterSheet!$M$3:$M""),""False"",IMPORTRANGE(""1s2846PiD-LoyoBfLNsFuq7yw0hC7cgOYRj5xs7gtmso"",""MasterSheet!$R$3:$R""),""True"")"),18.0)</f>
        <v>18</v>
      </c>
    </row>
    <row r="16" ht="21.0" customHeight="1">
      <c r="A16" s="13" t="str">
        <f>IFERROR(__xludf.DUMMYFUNCTION("""COMPUTED_VALUE"""),"Espach")</f>
        <v>Espach</v>
      </c>
      <c r="B16" s="13" t="str">
        <f>IFERROR(__xludf.DUMMYFUNCTION("""COMPUTED_VALUE"""),"Joe")</f>
        <v>Joe</v>
      </c>
      <c r="C16" s="10" t="str">
        <f>IFERROR(__xludf.DUMMYFUNCTION("""COMPUTED_VALUE"""),"LSC")</f>
        <v>LSC</v>
      </c>
      <c r="D16" s="11">
        <f>IFERROR(__xludf.DUMMYFUNCTION("""COMPUTED_VALUE"""),22126.0)</f>
        <v>22126</v>
      </c>
      <c r="E16" s="12">
        <f>IFERROR(__xludf.DUMMYFUNCTION("""COMPUTED_VALUE"""),66.0)</f>
        <v>66</v>
      </c>
      <c r="F16" s="13" t="str">
        <f>IFERROR(__xludf.DUMMYFUNCTION("""COMPUTED_VALUE"""),"espach@vodamail.co.za")</f>
        <v>espach@vodamail.co.za</v>
      </c>
      <c r="G16" s="14">
        <f>IFERROR(__xludf.DUMMYFUNCTION("""COMPUTED_VALUE"""),7.21110636E8)</f>
        <v>721110636</v>
      </c>
      <c r="H16" s="15">
        <f>IFERROR(__xludf.DUMMYFUNCTION("""COMPUTED_VALUE"""),2.700138103E9)</f>
        <v>2700138103</v>
      </c>
      <c r="I16" s="13" t="str">
        <f>IFERROR(__xludf.DUMMYFUNCTION("""COMPUTED_VALUE"""),"Margate CC")</f>
        <v>Margate CC</v>
      </c>
      <c r="J16" s="16"/>
      <c r="K16" s="17">
        <f>IFERROR(__xludf.DUMMYFUNCTION("""COMPUTED_VALUE"""),127.0)</f>
        <v>127</v>
      </c>
      <c r="L16" s="18" t="b">
        <f>IFERROR(__xludf.DUMMYFUNCTION("""COMPUTED_VALUE"""),FALSE)</f>
        <v>0</v>
      </c>
      <c r="M16" s="18" t="b">
        <f>IFERROR(__xludf.DUMMYFUNCTION("""COMPUTED_VALUE"""),FALSE)</f>
        <v>0</v>
      </c>
      <c r="N16" s="18" t="b">
        <f>IFERROR(__xludf.DUMMYFUNCTION("""COMPUTED_VALUE"""),FALSE)</f>
        <v>0</v>
      </c>
      <c r="O16" s="18" t="b">
        <f>IFERROR(__xludf.DUMMYFUNCTION("""COMPUTED_VALUE"""),FALSE)</f>
        <v>0</v>
      </c>
      <c r="P16" s="18" t="b">
        <f>IFERROR(__xludf.DUMMYFUNCTION("""COMPUTED_VALUE"""),FALSE)</f>
        <v>0</v>
      </c>
      <c r="Q16" s="20" t="b">
        <f>IFERROR(__xludf.DUMMYFUNCTION("""COMPUTED_VALUE"""),FALSE)</f>
        <v>0</v>
      </c>
      <c r="R16" s="64" t="b">
        <f>IFERROR(__xludf.DUMMYFUNCTION("""COMPUTED_VALUE"""),FALSE)</f>
        <v>0</v>
      </c>
      <c r="S16" s="21" t="s">
        <v>33</v>
      </c>
      <c r="T16" s="22" t="s">
        <v>34</v>
      </c>
      <c r="U16" s="65" t="s">
        <v>35</v>
      </c>
      <c r="V16" s="22" t="s">
        <v>21</v>
      </c>
    </row>
    <row r="17">
      <c r="A17" s="24" t="str">
        <f>IFERROR(__xludf.DUMMYFUNCTION("""COMPUTED_VALUE"""),"Fick")</f>
        <v>Fick</v>
      </c>
      <c r="B17" s="24" t="str">
        <f>IFERROR(__xludf.DUMMYFUNCTION("""COMPUTED_VALUE"""),"Kobus")</f>
        <v>Kobus</v>
      </c>
      <c r="C17" s="10" t="str">
        <f>IFERROR(__xludf.DUMMYFUNCTION("""COMPUTED_VALUE"""),"LSC")</f>
        <v>LSC</v>
      </c>
      <c r="D17" s="25">
        <f>IFERROR(__xludf.DUMMYFUNCTION("""COMPUTED_VALUE"""),23489.0)</f>
        <v>23489</v>
      </c>
      <c r="E17" s="26">
        <f>IFERROR(__xludf.DUMMYFUNCTION("""COMPUTED_VALUE"""),62.0)</f>
        <v>62</v>
      </c>
      <c r="F17" s="24" t="str">
        <f>IFERROR(__xludf.DUMMYFUNCTION("""COMPUTED_VALUE"""),"fickjj@live.co.za")</f>
        <v>fickjj@live.co.za</v>
      </c>
      <c r="G17" s="27">
        <f>IFERROR(__xludf.DUMMYFUNCTION("""COMPUTED_VALUE"""),8.2821485E8)</f>
        <v>828214850</v>
      </c>
      <c r="H17" s="28">
        <f>IFERROR(__xludf.DUMMYFUNCTION("""COMPUTED_VALUE"""),2.700294865E9)</f>
        <v>2700294865</v>
      </c>
      <c r="I17" s="24" t="str">
        <f>IFERROR(__xludf.DUMMYFUNCTION("""COMPUTED_VALUE"""),"Margate CC")</f>
        <v>Margate CC</v>
      </c>
      <c r="J17" s="29">
        <f>IFERROR(__xludf.DUMMYFUNCTION("""COMPUTED_VALUE"""),45967.0)</f>
        <v>45967</v>
      </c>
      <c r="K17" s="30">
        <f>IFERROR(__xludf.DUMMYFUNCTION("""COMPUTED_VALUE"""),1.0)</f>
        <v>1</v>
      </c>
      <c r="L17" s="31" t="b">
        <f>IFERROR(__xludf.DUMMYFUNCTION("""COMPUTED_VALUE"""),FALSE)</f>
        <v>0</v>
      </c>
      <c r="M17" s="31" t="b">
        <f>IFERROR(__xludf.DUMMYFUNCTION("""COMPUTED_VALUE"""),FALSE)</f>
        <v>0</v>
      </c>
      <c r="N17" s="31" t="b">
        <f>IFERROR(__xludf.DUMMYFUNCTION("""COMPUTED_VALUE"""),FALSE)</f>
        <v>0</v>
      </c>
      <c r="O17" s="31" t="b">
        <f>IFERROR(__xludf.DUMMYFUNCTION("""COMPUTED_VALUE"""),FALSE)</f>
        <v>0</v>
      </c>
      <c r="P17" s="31" t="b">
        <f>IFERROR(__xludf.DUMMYFUNCTION("""COMPUTED_VALUE"""),FALSE)</f>
        <v>0</v>
      </c>
      <c r="Q17" s="20" t="b">
        <f>IFERROR(__xludf.DUMMYFUNCTION("""COMPUTED_VALUE"""),FALSE)</f>
        <v>0</v>
      </c>
      <c r="R17" s="37" t="b">
        <f>IFERROR(__xludf.DUMMYFUNCTION("""COMPUTED_VALUE"""),FALSE)</f>
        <v>0</v>
      </c>
      <c r="S17" s="66" t="s">
        <v>36</v>
      </c>
      <c r="T17" s="67">
        <f>COUNTIFS($E$2:$E92,"&lt;80",$L$2:$L92, "False",  $M$2:$M92, "False", $O$2:$O92,"True", $Q$2:$Q92, "True")</f>
        <v>0</v>
      </c>
      <c r="U17" s="68">
        <f>COUNTIFS($E$2:$E92,"=80",$L$2:$L92, "False",  $M$2:$M92, "False")</f>
        <v>0</v>
      </c>
      <c r="V17" s="69">
        <f>SUM((V10-T17)*U19+(V13*U21)+(T17*U20))</f>
        <v>0</v>
      </c>
    </row>
    <row r="18">
      <c r="A18" s="13" t="str">
        <f>IFERROR(__xludf.DUMMYFUNCTION("""COMPUTED_VALUE"""),"Fick")</f>
        <v>Fick</v>
      </c>
      <c r="B18" s="13" t="str">
        <f>IFERROR(__xludf.DUMMYFUNCTION("""COMPUTED_VALUE"""),"Marianne")</f>
        <v>Marianne</v>
      </c>
      <c r="C18" s="44" t="str">
        <f>IFERROR(__xludf.DUMMYFUNCTION("""COMPUTED_VALUE"""),"LSC")</f>
        <v>LSC</v>
      </c>
      <c r="D18" s="11">
        <f>IFERROR(__xludf.DUMMYFUNCTION("""COMPUTED_VALUE"""),23777.0)</f>
        <v>23777</v>
      </c>
      <c r="E18" s="70">
        <f>IFERROR(__xludf.DUMMYFUNCTION("""COMPUTED_VALUE"""),61.0)</f>
        <v>61</v>
      </c>
      <c r="F18" s="13" t="str">
        <f>IFERROR(__xludf.DUMMYFUNCTION("""COMPUTED_VALUE"""),"mfick@live.co.za")</f>
        <v>mfick@live.co.za</v>
      </c>
      <c r="G18" s="14">
        <f>IFERROR(__xludf.DUMMYFUNCTION("""COMPUTED_VALUE"""),8.23762206E8)</f>
        <v>823762206</v>
      </c>
      <c r="H18" s="15">
        <f>IFERROR(__xludf.DUMMYFUNCTION("""COMPUTED_VALUE"""),2.700465166E9)</f>
        <v>2700465166</v>
      </c>
      <c r="I18" s="13" t="str">
        <f>IFERROR(__xludf.DUMMYFUNCTION("""COMPUTED_VALUE"""),"Margate CC")</f>
        <v>Margate CC</v>
      </c>
      <c r="J18" s="16">
        <f>IFERROR(__xludf.DUMMYFUNCTION("""COMPUTED_VALUE"""),45967.0)</f>
        <v>45967</v>
      </c>
      <c r="K18" s="17">
        <f>IFERROR(__xludf.DUMMYFUNCTION("""COMPUTED_VALUE"""),1.0)</f>
        <v>1</v>
      </c>
      <c r="L18" s="18" t="b">
        <f>IFERROR(__xludf.DUMMYFUNCTION("""COMPUTED_VALUE"""),FALSE)</f>
        <v>0</v>
      </c>
      <c r="M18" s="18" t="b">
        <f>IFERROR(__xludf.DUMMYFUNCTION("""COMPUTED_VALUE"""),FALSE)</f>
        <v>0</v>
      </c>
      <c r="N18" s="18" t="b">
        <f>IFERROR(__xludf.DUMMYFUNCTION("""COMPUTED_VALUE"""),FALSE)</f>
        <v>0</v>
      </c>
      <c r="O18" s="18" t="b">
        <f>IFERROR(__xludf.DUMMYFUNCTION("""COMPUTED_VALUE"""),FALSE)</f>
        <v>0</v>
      </c>
      <c r="P18" s="18" t="b">
        <f>IFERROR(__xludf.DUMMYFUNCTION("""COMPUTED_VALUE"""),TRUE)</f>
        <v>1</v>
      </c>
      <c r="Q18" s="18" t="b">
        <f>IFERROR(__xludf.DUMMYFUNCTION("""COMPUTED_VALUE"""),FALSE)</f>
        <v>0</v>
      </c>
      <c r="R18" s="40" t="b">
        <f>IFERROR(__xludf.DUMMYFUNCTION("""COMPUTED_VALUE"""),FALSE)</f>
        <v>0</v>
      </c>
      <c r="S18" s="71" t="s">
        <v>37</v>
      </c>
      <c r="T18" s="72"/>
      <c r="U18" s="73"/>
      <c r="V18" s="74">
        <v>13680.0</v>
      </c>
    </row>
    <row r="19">
      <c r="A19" s="24" t="str">
        <f>IFERROR(__xludf.DUMMYFUNCTION("""COMPUTED_VALUE"""),"Flemmer")</f>
        <v>Flemmer</v>
      </c>
      <c r="B19" s="24" t="str">
        <f>IFERROR(__xludf.DUMMYFUNCTION("""COMPUTED_VALUE"""),"Clive")</f>
        <v>Clive</v>
      </c>
      <c r="C19" s="10" t="str">
        <f>IFERROR(__xludf.DUMMYFUNCTION("""COMPUTED_VALUE"""),"LSC")</f>
        <v>LSC</v>
      </c>
      <c r="D19" s="25">
        <f>IFERROR(__xludf.DUMMYFUNCTION("""COMPUTED_VALUE"""),22790.0)</f>
        <v>22790</v>
      </c>
      <c r="E19" s="26">
        <f>IFERROR(__xludf.DUMMYFUNCTION("""COMPUTED_VALUE"""),64.0)</f>
        <v>64</v>
      </c>
      <c r="F19" s="24" t="str">
        <f>IFERROR(__xludf.DUMMYFUNCTION("""COMPUTED_VALUE"""),"cliveflemmer626@gmail.com")</f>
        <v>cliveflemmer626@gmail.com</v>
      </c>
      <c r="G19" s="27">
        <f>IFERROR(__xludf.DUMMYFUNCTION("""COMPUTED_VALUE"""),8.29562905E8)</f>
        <v>829562905</v>
      </c>
      <c r="H19" s="28">
        <f>IFERROR(__xludf.DUMMYFUNCTION("""COMPUTED_VALUE"""),2.700095657E9)</f>
        <v>2700095657</v>
      </c>
      <c r="I19" s="24" t="str">
        <f>IFERROR(__xludf.DUMMYFUNCTION("""COMPUTED_VALUE"""),"Port Edward CC")</f>
        <v>Port Edward CC</v>
      </c>
      <c r="J19" s="29">
        <f>IFERROR(__xludf.DUMMYFUNCTION("""COMPUTED_VALUE"""),46051.0)</f>
        <v>46051</v>
      </c>
      <c r="K19" s="30">
        <f>IFERROR(__xludf.DUMMYFUNCTION("""COMPUTED_VALUE"""),0.0)</f>
        <v>0</v>
      </c>
      <c r="L19" s="31" t="b">
        <f>IFERROR(__xludf.DUMMYFUNCTION("""COMPUTED_VALUE"""),FALSE)</f>
        <v>0</v>
      </c>
      <c r="M19" s="31" t="b">
        <f>IFERROR(__xludf.DUMMYFUNCTION("""COMPUTED_VALUE"""),FALSE)</f>
        <v>0</v>
      </c>
      <c r="N19" s="31" t="b">
        <f>IFERROR(__xludf.DUMMYFUNCTION("""COMPUTED_VALUE"""),FALSE)</f>
        <v>0</v>
      </c>
      <c r="O19" s="31" t="b">
        <f>IFERROR(__xludf.DUMMYFUNCTION("""COMPUTED_VALUE"""),FALSE)</f>
        <v>0</v>
      </c>
      <c r="P19" s="31" t="b">
        <f>IFERROR(__xludf.DUMMYFUNCTION("""COMPUTED_VALUE"""),FALSE)</f>
        <v>0</v>
      </c>
      <c r="Q19" s="20" t="b">
        <f>IFERROR(__xludf.DUMMYFUNCTION("""COMPUTED_VALUE"""),FALSE)</f>
        <v>0</v>
      </c>
      <c r="R19" s="37" t="b">
        <f>IFERROR(__xludf.DUMMYFUNCTION("""COMPUTED_VALUE"""),FALSE)</f>
        <v>0</v>
      </c>
      <c r="S19" s="75" t="s">
        <v>38</v>
      </c>
      <c r="T19" s="76">
        <f>V9-T20</f>
        <v>84</v>
      </c>
      <c r="U19" s="77">
        <f>IFERROR(__xludf.DUMMYFUNCTION("IMPORTRANGE(""1ARPuSxvb35Qf5WCV6A_HHR6z7iwKbmEgbNrs8X48FXc"",""Levies!D2"")"),90.0)</f>
        <v>90</v>
      </c>
      <c r="V19" s="78">
        <f>SUM(T19*U19)</f>
        <v>7560</v>
      </c>
    </row>
    <row r="20">
      <c r="A20" s="9" t="str">
        <f>IFERROR(__xludf.DUMMYFUNCTION("""COMPUTED_VALUE"""),"Fogwill")</f>
        <v>Fogwill</v>
      </c>
      <c r="B20" s="9" t="str">
        <f>IFERROR(__xludf.DUMMYFUNCTION("""COMPUTED_VALUE"""),"Moira")</f>
        <v>Moira</v>
      </c>
      <c r="C20" s="10" t="str">
        <f>IFERROR(__xludf.DUMMYFUNCTION("""COMPUTED_VALUE"""),"LSC")</f>
        <v>LSC</v>
      </c>
      <c r="D20" s="11">
        <f>IFERROR(__xludf.DUMMYFUNCTION("""COMPUTED_VALUE"""),23345.0)</f>
        <v>23345</v>
      </c>
      <c r="E20" s="12">
        <f>IFERROR(__xludf.DUMMYFUNCTION("""COMPUTED_VALUE"""),62.0)</f>
        <v>62</v>
      </c>
      <c r="F20" s="13" t="str">
        <f>IFERROR(__xludf.DUMMYFUNCTION("""COMPUTED_VALUE"""),"moira.fogwill@gmail.com")</f>
        <v>moira.fogwill@gmail.com</v>
      </c>
      <c r="G20" s="14">
        <f>IFERROR(__xludf.DUMMYFUNCTION("""COMPUTED_VALUE"""),8.34075587E8)</f>
        <v>834075587</v>
      </c>
      <c r="H20" s="15">
        <f>IFERROR(__xludf.DUMMYFUNCTION("""COMPUTED_VALUE"""),2.700029491E9)</f>
        <v>2700029491</v>
      </c>
      <c r="I20" s="13" t="str">
        <f>IFERROR(__xludf.DUMMYFUNCTION("""COMPUTED_VALUE"""),"Margate CC")</f>
        <v>Margate CC</v>
      </c>
      <c r="J20" s="16">
        <f>IFERROR(__xludf.DUMMYFUNCTION("""COMPUTED_VALUE"""),45972.0)</f>
        <v>45972</v>
      </c>
      <c r="K20" s="17">
        <f>IFERROR(__xludf.DUMMYFUNCTION("""COMPUTED_VALUE"""),1.0)</f>
        <v>1</v>
      </c>
      <c r="L20" s="18" t="b">
        <f>IFERROR(__xludf.DUMMYFUNCTION("""COMPUTED_VALUE"""),FALSE)</f>
        <v>0</v>
      </c>
      <c r="M20" s="18" t="b">
        <f>IFERROR(__xludf.DUMMYFUNCTION("""COMPUTED_VALUE"""),FALSE)</f>
        <v>0</v>
      </c>
      <c r="N20" s="18" t="b">
        <f>IFERROR(__xludf.DUMMYFUNCTION("""COMPUTED_VALUE"""),FALSE)</f>
        <v>0</v>
      </c>
      <c r="O20" s="18" t="b">
        <f>IFERROR(__xludf.DUMMYFUNCTION("""COMPUTED_VALUE"""),FALSE)</f>
        <v>0</v>
      </c>
      <c r="P20" s="19" t="b">
        <f>IFERROR(__xludf.DUMMYFUNCTION("""COMPUTED_VALUE"""),TRUE)</f>
        <v>1</v>
      </c>
      <c r="Q20" s="20" t="b">
        <f>IFERROR(__xludf.DUMMYFUNCTION("""COMPUTED_VALUE"""),FALSE)</f>
        <v>0</v>
      </c>
      <c r="R20" s="40" t="b">
        <f>IFERROR(__xludf.DUMMYFUNCTION("""COMPUTED_VALUE"""),FALSE)</f>
        <v>0</v>
      </c>
      <c r="S20" s="71" t="s">
        <v>39</v>
      </c>
      <c r="T20" s="76">
        <f>COUNTIFS($E$2:$E92,"&lt;80",$L$2:$L92, "False",$M$2:$M92, "False", $O$2:$O92, "TRUE")</f>
        <v>0</v>
      </c>
      <c r="U20" s="77">
        <f>IFERROR(__xludf.DUMMYFUNCTION("IMPORTRANGE(""1ARPuSxvb35Qf5WCV6A_HHR6z7iwKbmEgbNrs8X48FXc"",""Levies!G2"")"),90.0)</f>
        <v>90</v>
      </c>
      <c r="V20" s="78">
        <f>Sum(T20*U20)</f>
        <v>0</v>
      </c>
    </row>
    <row r="21">
      <c r="A21" s="79" t="str">
        <f>IFERROR(__xludf.DUMMYFUNCTION("""COMPUTED_VALUE"""),"Fogwill")</f>
        <v>Fogwill</v>
      </c>
      <c r="B21" s="79" t="str">
        <f>IFERROR(__xludf.DUMMYFUNCTION("""COMPUTED_VALUE"""),"Norman")</f>
        <v>Norman</v>
      </c>
      <c r="C21" s="80" t="str">
        <f>IFERROR(__xludf.DUMMYFUNCTION("""COMPUTED_VALUE"""),"LSC")</f>
        <v>LSC</v>
      </c>
      <c r="D21" s="81">
        <f>IFERROR(__xludf.DUMMYFUNCTION("""COMPUTED_VALUE"""),21422.0)</f>
        <v>21422</v>
      </c>
      <c r="E21" s="82">
        <f>IFERROR(__xludf.DUMMYFUNCTION("""COMPUTED_VALUE"""),67.0)</f>
        <v>67</v>
      </c>
      <c r="F21" s="83" t="str">
        <f>IFERROR(__xludf.DUMMYFUNCTION("""COMPUTED_VALUE"""),"nc.fogwill@gmail.com")</f>
        <v>nc.fogwill@gmail.com</v>
      </c>
      <c r="G21" s="84">
        <f>IFERROR(__xludf.DUMMYFUNCTION("""COMPUTED_VALUE"""),8.32944273E8)</f>
        <v>832944273</v>
      </c>
      <c r="H21" s="82">
        <f>IFERROR(__xludf.DUMMYFUNCTION("""COMPUTED_VALUE"""),2.700029594E9)</f>
        <v>2700029594</v>
      </c>
      <c r="I21" s="83" t="str">
        <f>IFERROR(__xludf.DUMMYFUNCTION("""COMPUTED_VALUE"""),"Margate CC")</f>
        <v>Margate CC</v>
      </c>
      <c r="J21" s="81">
        <f>IFERROR(__xludf.DUMMYFUNCTION("""COMPUTED_VALUE"""),45972.0)</f>
        <v>45972</v>
      </c>
      <c r="K21" s="85">
        <f>IFERROR(__xludf.DUMMYFUNCTION("""COMPUTED_VALUE"""),1.0)</f>
        <v>1</v>
      </c>
      <c r="L21" s="86" t="b">
        <f>IFERROR(__xludf.DUMMYFUNCTION("""COMPUTED_VALUE"""),FALSE)</f>
        <v>0</v>
      </c>
      <c r="M21" s="86" t="b">
        <f>IFERROR(__xludf.DUMMYFUNCTION("""COMPUTED_VALUE"""),FALSE)</f>
        <v>0</v>
      </c>
      <c r="N21" s="86" t="b">
        <f>IFERROR(__xludf.DUMMYFUNCTION("""COMPUTED_VALUE"""),FALSE)</f>
        <v>0</v>
      </c>
      <c r="O21" s="86" t="b">
        <f>IFERROR(__xludf.DUMMYFUNCTION("""COMPUTED_VALUE"""),FALSE)</f>
        <v>0</v>
      </c>
      <c r="P21" s="86" t="b">
        <f>IFERROR(__xludf.DUMMYFUNCTION("""COMPUTED_VALUE"""),FALSE)</f>
        <v>0</v>
      </c>
      <c r="Q21" s="86" t="b">
        <f>IFERROR(__xludf.DUMMYFUNCTION("""COMPUTED_VALUE"""),FALSE)</f>
        <v>0</v>
      </c>
      <c r="R21" s="87" t="b">
        <f>IFERROR(__xludf.DUMMYFUNCTION("""COMPUTED_VALUE"""),FALSE)</f>
        <v>0</v>
      </c>
      <c r="S21" s="87"/>
      <c r="T21" s="87"/>
      <c r="U21" s="87"/>
      <c r="V21" s="87"/>
    </row>
    <row r="22">
      <c r="A22" s="79" t="str">
        <f>IFERROR(__xludf.DUMMYFUNCTION("""COMPUTED_VALUE"""),"Foster")</f>
        <v>Foster</v>
      </c>
      <c r="B22" s="79" t="str">
        <f>IFERROR(__xludf.DUMMYFUNCTION("""COMPUTED_VALUE"""),"Steve")</f>
        <v>Steve</v>
      </c>
      <c r="C22" s="80" t="str">
        <f>IFERROR(__xludf.DUMMYFUNCTION("""COMPUTED_VALUE"""),"LSC")</f>
        <v>LSC</v>
      </c>
      <c r="D22" s="81">
        <f>IFERROR(__xludf.DUMMYFUNCTION("""COMPUTED_VALUE"""),22497.0)</f>
        <v>22497</v>
      </c>
      <c r="E22" s="82">
        <f>IFERROR(__xludf.DUMMYFUNCTION("""COMPUTED_VALUE"""),64.0)</f>
        <v>64</v>
      </c>
      <c r="F22" s="83" t="str">
        <f>IFERROR(__xludf.DUMMYFUNCTION("""COMPUTED_VALUE"""),"sfoster4861@gmail.com")</f>
        <v>sfoster4861@gmail.com</v>
      </c>
      <c r="G22" s="84">
        <f>IFERROR(__xludf.DUMMYFUNCTION("""COMPUTED_VALUE"""),6.03330196E8)</f>
        <v>603330196</v>
      </c>
      <c r="H22" s="82">
        <f>IFERROR(__xludf.DUMMYFUNCTION("""COMPUTED_VALUE"""),2.700068214E9)</f>
        <v>2700068214</v>
      </c>
      <c r="I22" s="83" t="str">
        <f>IFERROR(__xludf.DUMMYFUNCTION("""COMPUTED_VALUE"""),"Port Edward CC")</f>
        <v>Port Edward CC</v>
      </c>
      <c r="J22" s="81">
        <f>IFERROR(__xludf.DUMMYFUNCTION("""COMPUTED_VALUE"""),46051.0)</f>
        <v>46051</v>
      </c>
      <c r="K22" s="85">
        <f>IFERROR(__xludf.DUMMYFUNCTION("""COMPUTED_VALUE"""),0.0)</f>
        <v>0</v>
      </c>
      <c r="L22" s="86" t="b">
        <f>IFERROR(__xludf.DUMMYFUNCTION("""COMPUTED_VALUE"""),FALSE)</f>
        <v>0</v>
      </c>
      <c r="M22" s="86" t="b">
        <f>IFERROR(__xludf.DUMMYFUNCTION("""COMPUTED_VALUE"""),FALSE)</f>
        <v>0</v>
      </c>
      <c r="N22" s="86" t="b">
        <f>IFERROR(__xludf.DUMMYFUNCTION("""COMPUTED_VALUE"""),FALSE)</f>
        <v>0</v>
      </c>
      <c r="O22" s="86" t="b">
        <f>IFERROR(__xludf.DUMMYFUNCTION("""COMPUTED_VALUE"""),FALSE)</f>
        <v>0</v>
      </c>
      <c r="P22" s="86" t="b">
        <f>IFERROR(__xludf.DUMMYFUNCTION("""COMPUTED_VALUE"""),FALSE)</f>
        <v>0</v>
      </c>
      <c r="Q22" s="86" t="b">
        <f>IFERROR(__xludf.DUMMYFUNCTION("""COMPUTED_VALUE"""),FALSE)</f>
        <v>0</v>
      </c>
      <c r="R22" s="87" t="b">
        <f>IFERROR(__xludf.DUMMYFUNCTION("""COMPUTED_VALUE"""),FALSE)</f>
        <v>0</v>
      </c>
      <c r="S22" s="87"/>
      <c r="T22" s="87"/>
      <c r="U22" s="87"/>
      <c r="V22" s="87"/>
    </row>
    <row r="23">
      <c r="A23" s="79" t="str">
        <f>IFERROR(__xludf.DUMMYFUNCTION("""COMPUTED_VALUE"""),"Fourie")</f>
        <v>Fourie</v>
      </c>
      <c r="B23" s="79" t="str">
        <f>IFERROR(__xludf.DUMMYFUNCTION("""COMPUTED_VALUE"""),"Grace")</f>
        <v>Grace</v>
      </c>
      <c r="C23" s="80" t="str">
        <f>IFERROR(__xludf.DUMMYFUNCTION("""COMPUTED_VALUE"""),"LSC")</f>
        <v>LSC</v>
      </c>
      <c r="D23" s="81">
        <f>IFERROR(__xludf.DUMMYFUNCTION("""COMPUTED_VALUE"""),22768.0)</f>
        <v>22768</v>
      </c>
      <c r="E23" s="82">
        <f>IFERROR(__xludf.DUMMYFUNCTION("""COMPUTED_VALUE"""),64.0)</f>
        <v>64</v>
      </c>
      <c r="F23" s="83" t="str">
        <f>IFERROR(__xludf.DUMMYFUNCTION("""COMPUTED_VALUE"""),"sportschool@worldonline.co.za")</f>
        <v>sportschool@worldonline.co.za</v>
      </c>
      <c r="G23" s="84">
        <f>IFERROR(__xludf.DUMMYFUNCTION("""COMPUTED_VALUE"""),8.25645252E8)</f>
        <v>825645252</v>
      </c>
      <c r="H23" s="82">
        <f>IFERROR(__xludf.DUMMYFUNCTION("""COMPUTED_VALUE"""),2.700041106E9)</f>
        <v>2700041106</v>
      </c>
      <c r="I23" s="83" t="str">
        <f>IFERROR(__xludf.DUMMYFUNCTION("""COMPUTED_VALUE"""),"Margate CC")</f>
        <v>Margate CC</v>
      </c>
      <c r="J23" s="81">
        <f>IFERROR(__xludf.DUMMYFUNCTION("""COMPUTED_VALUE"""),46071.0)</f>
        <v>46071</v>
      </c>
      <c r="K23" s="85">
        <f>IFERROR(__xludf.DUMMYFUNCTION("""COMPUTED_VALUE"""),0.0)</f>
        <v>0</v>
      </c>
      <c r="L23" s="86" t="b">
        <f>IFERROR(__xludf.DUMMYFUNCTION("""COMPUTED_VALUE"""),FALSE)</f>
        <v>0</v>
      </c>
      <c r="M23" s="86" t="b">
        <f>IFERROR(__xludf.DUMMYFUNCTION("""COMPUTED_VALUE"""),FALSE)</f>
        <v>0</v>
      </c>
      <c r="N23" s="86" t="b">
        <f>IFERROR(__xludf.DUMMYFUNCTION("""COMPUTED_VALUE"""),FALSE)</f>
        <v>0</v>
      </c>
      <c r="O23" s="86" t="b">
        <f>IFERROR(__xludf.DUMMYFUNCTION("""COMPUTED_VALUE"""),FALSE)</f>
        <v>0</v>
      </c>
      <c r="P23" s="86" t="b">
        <f>IFERROR(__xludf.DUMMYFUNCTION("""COMPUTED_VALUE"""),TRUE)</f>
        <v>1</v>
      </c>
      <c r="Q23" s="86" t="b">
        <f>IFERROR(__xludf.DUMMYFUNCTION("""COMPUTED_VALUE"""),FALSE)</f>
        <v>0</v>
      </c>
      <c r="R23" s="87" t="b">
        <f>IFERROR(__xludf.DUMMYFUNCTION("""COMPUTED_VALUE"""),FALSE)</f>
        <v>0</v>
      </c>
      <c r="S23" s="87"/>
      <c r="T23" s="87"/>
      <c r="U23" s="87"/>
      <c r="V23" s="87"/>
    </row>
    <row r="24">
      <c r="A24" s="79" t="str">
        <f>IFERROR(__xludf.DUMMYFUNCTION("""COMPUTED_VALUE"""),"Ghingai")</f>
        <v>Ghingai</v>
      </c>
      <c r="B24" s="79" t="str">
        <f>IFERROR(__xludf.DUMMYFUNCTION("""COMPUTED_VALUE"""),"Sew")</f>
        <v>Sew</v>
      </c>
      <c r="C24" s="80" t="str">
        <f>IFERROR(__xludf.DUMMYFUNCTION("""COMPUTED_VALUE"""),"LSC")</f>
        <v>LSC</v>
      </c>
      <c r="D24" s="81">
        <f>IFERROR(__xludf.DUMMYFUNCTION("""COMPUTED_VALUE"""),18130.0)</f>
        <v>18130</v>
      </c>
      <c r="E24" s="82">
        <f>IFERROR(__xludf.DUMMYFUNCTION("""COMPUTED_VALUE"""),76.0)</f>
        <v>76</v>
      </c>
      <c r="F24" s="83" t="str">
        <f>IFERROR(__xludf.DUMMYFUNCTION("""COMPUTED_VALUE"""),"ghingai@gmail.com")</f>
        <v>ghingai@gmail.com</v>
      </c>
      <c r="G24" s="84">
        <f>IFERROR(__xludf.DUMMYFUNCTION("""COMPUTED_VALUE"""),8.34498438E8)</f>
        <v>834498438</v>
      </c>
      <c r="H24" s="82">
        <f>IFERROR(__xludf.DUMMYFUNCTION("""COMPUTED_VALUE"""),2.700427395E9)</f>
        <v>2700427395</v>
      </c>
      <c r="I24" s="83" t="str">
        <f>IFERROR(__xludf.DUMMYFUNCTION("""COMPUTED_VALUE"""),"Port Shepstone CC")</f>
        <v>Port Shepstone CC</v>
      </c>
      <c r="J24" s="81">
        <f>IFERROR(__xludf.DUMMYFUNCTION("""COMPUTED_VALUE"""),45947.0)</f>
        <v>45947</v>
      </c>
      <c r="K24" s="85">
        <f>IFERROR(__xludf.DUMMYFUNCTION("""COMPUTED_VALUE"""),1.0)</f>
        <v>1</v>
      </c>
      <c r="L24" s="86" t="b">
        <f>IFERROR(__xludf.DUMMYFUNCTION("""COMPUTED_VALUE"""),FALSE)</f>
        <v>0</v>
      </c>
      <c r="M24" s="86" t="b">
        <f>IFERROR(__xludf.DUMMYFUNCTION("""COMPUTED_VALUE"""),FALSE)</f>
        <v>0</v>
      </c>
      <c r="N24" s="86" t="b">
        <f>IFERROR(__xludf.DUMMYFUNCTION("""COMPUTED_VALUE"""),FALSE)</f>
        <v>0</v>
      </c>
      <c r="O24" s="86" t="b">
        <f>IFERROR(__xludf.DUMMYFUNCTION("""COMPUTED_VALUE"""),FALSE)</f>
        <v>0</v>
      </c>
      <c r="P24" s="86" t="b">
        <f>IFERROR(__xludf.DUMMYFUNCTION("""COMPUTED_VALUE"""),FALSE)</f>
        <v>0</v>
      </c>
      <c r="Q24" s="86" t="b">
        <f>IFERROR(__xludf.DUMMYFUNCTION("""COMPUTED_VALUE"""),FALSE)</f>
        <v>0</v>
      </c>
      <c r="R24" s="87" t="b">
        <f>IFERROR(__xludf.DUMMYFUNCTION("""COMPUTED_VALUE"""),FALSE)</f>
        <v>0</v>
      </c>
      <c r="S24" s="87"/>
      <c r="T24" s="87"/>
      <c r="U24" s="87"/>
      <c r="V24" s="87"/>
    </row>
    <row r="25">
      <c r="A25" s="79" t="str">
        <f>IFERROR(__xludf.DUMMYFUNCTION("""COMPUTED_VALUE"""),"Goltman")</f>
        <v>Goltman</v>
      </c>
      <c r="B25" s="79" t="str">
        <f>IFERROR(__xludf.DUMMYFUNCTION("""COMPUTED_VALUE"""),"Mike")</f>
        <v>Mike</v>
      </c>
      <c r="C25" s="80" t="str">
        <f>IFERROR(__xludf.DUMMYFUNCTION("""COMPUTED_VALUE"""),"LSC")</f>
        <v>LSC</v>
      </c>
      <c r="D25" s="81">
        <f>IFERROR(__xludf.DUMMYFUNCTION("""COMPUTED_VALUE"""),20177.0)</f>
        <v>20177</v>
      </c>
      <c r="E25" s="82">
        <f>IFERROR(__xludf.DUMMYFUNCTION("""COMPUTED_VALUE"""),71.0)</f>
        <v>71</v>
      </c>
      <c r="F25" s="83" t="str">
        <f>IFERROR(__xludf.DUMMYFUNCTION("""COMPUTED_VALUE"""),"mikegoltman@gmail.com")</f>
        <v>mikegoltman@gmail.com</v>
      </c>
      <c r="G25" s="84">
        <f>IFERROR(__xludf.DUMMYFUNCTION("""COMPUTED_VALUE"""),8.37992353E8)</f>
        <v>837992353</v>
      </c>
      <c r="H25" s="82">
        <f>IFERROR(__xludf.DUMMYFUNCTION("""COMPUTED_VALUE"""),2.700284496E9)</f>
        <v>2700284496</v>
      </c>
      <c r="I25" s="83" t="str">
        <f>IFERROR(__xludf.DUMMYFUNCTION("""COMPUTED_VALUE"""),"Margate CC")</f>
        <v>Margate CC</v>
      </c>
      <c r="J25" s="81"/>
      <c r="K25" s="85">
        <f>IFERROR(__xludf.DUMMYFUNCTION("""COMPUTED_VALUE"""),127.0)</f>
        <v>127</v>
      </c>
      <c r="L25" s="86" t="b">
        <f>IFERROR(__xludf.DUMMYFUNCTION("""COMPUTED_VALUE"""),FALSE)</f>
        <v>0</v>
      </c>
      <c r="M25" s="86" t="b">
        <f>IFERROR(__xludf.DUMMYFUNCTION("""COMPUTED_VALUE"""),FALSE)</f>
        <v>0</v>
      </c>
      <c r="N25" s="86" t="b">
        <f>IFERROR(__xludf.DUMMYFUNCTION("""COMPUTED_VALUE"""),FALSE)</f>
        <v>0</v>
      </c>
      <c r="O25" s="86" t="b">
        <f>IFERROR(__xludf.DUMMYFUNCTION("""COMPUTED_VALUE"""),FALSE)</f>
        <v>0</v>
      </c>
      <c r="P25" s="86" t="b">
        <f>IFERROR(__xludf.DUMMYFUNCTION("""COMPUTED_VALUE"""),FALSE)</f>
        <v>0</v>
      </c>
      <c r="Q25" s="86" t="b">
        <f>IFERROR(__xludf.DUMMYFUNCTION("""COMPUTED_VALUE"""),FALSE)</f>
        <v>0</v>
      </c>
      <c r="R25" s="87" t="b">
        <f>IFERROR(__xludf.DUMMYFUNCTION("""COMPUTED_VALUE"""),FALSE)</f>
        <v>0</v>
      </c>
      <c r="S25" s="87"/>
      <c r="T25" s="87"/>
      <c r="U25" s="87"/>
      <c r="V25" s="87"/>
    </row>
    <row r="26">
      <c r="A26" s="79" t="str">
        <f>IFERROR(__xludf.DUMMYFUNCTION("""COMPUTED_VALUE"""),"Govender")</f>
        <v>Govender</v>
      </c>
      <c r="B26" s="79" t="str">
        <f>IFERROR(__xludf.DUMMYFUNCTION("""COMPUTED_VALUE"""),"Vasie")</f>
        <v>Vasie</v>
      </c>
      <c r="C26" s="80" t="str">
        <f>IFERROR(__xludf.DUMMYFUNCTION("""COMPUTED_VALUE"""),"LSC")</f>
        <v>LSC</v>
      </c>
      <c r="D26" s="81">
        <f>IFERROR(__xludf.DUMMYFUNCTION("""COMPUTED_VALUE"""),20250.0)</f>
        <v>20250</v>
      </c>
      <c r="E26" s="82">
        <f>IFERROR(__xludf.DUMMYFUNCTION("""COMPUTED_VALUE"""),71.0)</f>
        <v>71</v>
      </c>
      <c r="F26" s="83" t="str">
        <f>IFERROR(__xludf.DUMMYFUNCTION("""COMPUTED_VALUE"""),"petergovender611@gmail.com")</f>
        <v>petergovender611@gmail.com</v>
      </c>
      <c r="G26" s="84">
        <f>IFERROR(__xludf.DUMMYFUNCTION("""COMPUTED_VALUE"""),7.31783029E8)</f>
        <v>731783029</v>
      </c>
      <c r="H26" s="82">
        <f>IFERROR(__xludf.DUMMYFUNCTION("""COMPUTED_VALUE"""),2.70008648E9)</f>
        <v>2700086480</v>
      </c>
      <c r="I26" s="83" t="str">
        <f>IFERROR(__xludf.DUMMYFUNCTION("""COMPUTED_VALUE"""),"Margate CC")</f>
        <v>Margate CC</v>
      </c>
      <c r="J26" s="81"/>
      <c r="K26" s="85">
        <f>IFERROR(__xludf.DUMMYFUNCTION("""COMPUTED_VALUE"""),127.0)</f>
        <v>127</v>
      </c>
      <c r="L26" s="86" t="b">
        <f>IFERROR(__xludf.DUMMYFUNCTION("""COMPUTED_VALUE"""),FALSE)</f>
        <v>0</v>
      </c>
      <c r="M26" s="86" t="b">
        <f>IFERROR(__xludf.DUMMYFUNCTION("""COMPUTED_VALUE"""),FALSE)</f>
        <v>0</v>
      </c>
      <c r="N26" s="86" t="b">
        <f>IFERROR(__xludf.DUMMYFUNCTION("""COMPUTED_VALUE"""),FALSE)</f>
        <v>0</v>
      </c>
      <c r="O26" s="86" t="b">
        <f>IFERROR(__xludf.DUMMYFUNCTION("""COMPUTED_VALUE"""),FALSE)</f>
        <v>0</v>
      </c>
      <c r="P26" s="86" t="b">
        <f>IFERROR(__xludf.DUMMYFUNCTION("""COMPUTED_VALUE"""),FALSE)</f>
        <v>0</v>
      </c>
      <c r="Q26" s="86" t="b">
        <f>IFERROR(__xludf.DUMMYFUNCTION("""COMPUTED_VALUE"""),FALSE)</f>
        <v>0</v>
      </c>
      <c r="R26" s="87" t="b">
        <f>IFERROR(__xludf.DUMMYFUNCTION("""COMPUTED_VALUE"""),FALSE)</f>
        <v>0</v>
      </c>
      <c r="S26" s="87"/>
      <c r="T26" s="87"/>
      <c r="U26" s="87"/>
      <c r="V26" s="87"/>
    </row>
    <row r="27">
      <c r="A27" s="79" t="str">
        <f>IFERROR(__xludf.DUMMYFUNCTION("""COMPUTED_VALUE"""),"Grove")</f>
        <v>Grove</v>
      </c>
      <c r="B27" s="79" t="str">
        <f>IFERROR(__xludf.DUMMYFUNCTION("""COMPUTED_VALUE"""),"Martin")</f>
        <v>Martin</v>
      </c>
      <c r="C27" s="80" t="str">
        <f>IFERROR(__xludf.DUMMYFUNCTION("""COMPUTED_VALUE"""),"LSC")</f>
        <v>LSC</v>
      </c>
      <c r="D27" s="81">
        <f>IFERROR(__xludf.DUMMYFUNCTION("""COMPUTED_VALUE"""),25591.0)</f>
        <v>25591</v>
      </c>
      <c r="E27" s="82">
        <f>IFERROR(__xludf.DUMMYFUNCTION("""COMPUTED_VALUE"""),56.0)</f>
        <v>56</v>
      </c>
      <c r="F27" s="83" t="str">
        <f>IFERROR(__xludf.DUMMYFUNCTION("""COMPUTED_VALUE"""),"martin@curnowkzn.co.za")</f>
        <v>martin@curnowkzn.co.za</v>
      </c>
      <c r="G27" s="84">
        <f>IFERROR(__xludf.DUMMYFUNCTION("""COMPUTED_VALUE"""),6.36836137E8)</f>
        <v>636836137</v>
      </c>
      <c r="H27" s="82">
        <f>IFERROR(__xludf.DUMMYFUNCTION("""COMPUTED_VALUE"""),2.700180707E9)</f>
        <v>2700180707</v>
      </c>
      <c r="I27" s="83" t="str">
        <f>IFERROR(__xludf.DUMMYFUNCTION("""COMPUTED_VALUE"""),"Port Shepstone CC")</f>
        <v>Port Shepstone CC</v>
      </c>
      <c r="J27" s="81"/>
      <c r="K27" s="85">
        <f>IFERROR(__xludf.DUMMYFUNCTION("""COMPUTED_VALUE"""),127.0)</f>
        <v>127</v>
      </c>
      <c r="L27" s="86" t="b">
        <f>IFERROR(__xludf.DUMMYFUNCTION("""COMPUTED_VALUE"""),FALSE)</f>
        <v>0</v>
      </c>
      <c r="M27" s="86" t="b">
        <f>IFERROR(__xludf.DUMMYFUNCTION("""COMPUTED_VALUE"""),FALSE)</f>
        <v>0</v>
      </c>
      <c r="N27" s="86" t="b">
        <f>IFERROR(__xludf.DUMMYFUNCTION("""COMPUTED_VALUE"""),FALSE)</f>
        <v>0</v>
      </c>
      <c r="O27" s="86" t="b">
        <f>IFERROR(__xludf.DUMMYFUNCTION("""COMPUTED_VALUE"""),FALSE)</f>
        <v>0</v>
      </c>
      <c r="P27" s="86" t="b">
        <f>IFERROR(__xludf.DUMMYFUNCTION("""COMPUTED_VALUE"""),FALSE)</f>
        <v>0</v>
      </c>
      <c r="Q27" s="86" t="b">
        <f>IFERROR(__xludf.DUMMYFUNCTION("""COMPUTED_VALUE"""),FALSE)</f>
        <v>0</v>
      </c>
      <c r="R27" s="87" t="b">
        <f>IFERROR(__xludf.DUMMYFUNCTION("""COMPUTED_VALUE"""),FALSE)</f>
        <v>0</v>
      </c>
      <c r="S27" s="87"/>
      <c r="T27" s="87"/>
      <c r="U27" s="87"/>
      <c r="V27" s="87"/>
    </row>
    <row r="28">
      <c r="A28" s="79" t="str">
        <f>IFERROR(__xludf.DUMMYFUNCTION("""COMPUTED_VALUE"""),"Hill")</f>
        <v>Hill</v>
      </c>
      <c r="B28" s="79" t="str">
        <f>IFERROR(__xludf.DUMMYFUNCTION("""COMPUTED_VALUE"""),"Terrence")</f>
        <v>Terrence</v>
      </c>
      <c r="C28" s="80" t="str">
        <f>IFERROR(__xludf.DUMMYFUNCTION("""COMPUTED_VALUE"""),"LSC")</f>
        <v>LSC</v>
      </c>
      <c r="D28" s="81">
        <f>IFERROR(__xludf.DUMMYFUNCTION("""COMPUTED_VALUE"""),27428.0)</f>
        <v>27428</v>
      </c>
      <c r="E28" s="82">
        <f>IFERROR(__xludf.DUMMYFUNCTION("""COMPUTED_VALUE"""),51.0)</f>
        <v>51</v>
      </c>
      <c r="F28" s="83" t="str">
        <f>IFERROR(__xludf.DUMMYFUNCTION("""COMPUTED_VALUE"""),"tjhillacc@gmail.com")</f>
        <v>tjhillacc@gmail.com</v>
      </c>
      <c r="G28" s="84">
        <f>IFERROR(__xludf.DUMMYFUNCTION("""COMPUTED_VALUE"""),8.15208624E8)</f>
        <v>815208624</v>
      </c>
      <c r="H28" s="82">
        <f>IFERROR(__xludf.DUMMYFUNCTION("""COMPUTED_VALUE"""),2.7003622E9)</f>
        <v>2700362200</v>
      </c>
      <c r="I28" s="83" t="str">
        <f>IFERROR(__xludf.DUMMYFUNCTION("""COMPUTED_VALUE"""),"Southbroom GC")</f>
        <v>Southbroom GC</v>
      </c>
      <c r="J28" s="81"/>
      <c r="K28" s="85">
        <f>IFERROR(__xludf.DUMMYFUNCTION("""COMPUTED_VALUE"""),127.0)</f>
        <v>127</v>
      </c>
      <c r="L28" s="86" t="b">
        <f>IFERROR(__xludf.DUMMYFUNCTION("""COMPUTED_VALUE"""),FALSE)</f>
        <v>0</v>
      </c>
      <c r="M28" s="86" t="b">
        <f>IFERROR(__xludf.DUMMYFUNCTION("""COMPUTED_VALUE"""),FALSE)</f>
        <v>0</v>
      </c>
      <c r="N28" s="86" t="b">
        <f>IFERROR(__xludf.DUMMYFUNCTION("""COMPUTED_VALUE"""),FALSE)</f>
        <v>0</v>
      </c>
      <c r="O28" s="86" t="b">
        <f>IFERROR(__xludf.DUMMYFUNCTION("""COMPUTED_VALUE"""),FALSE)</f>
        <v>0</v>
      </c>
      <c r="P28" s="86" t="b">
        <f>IFERROR(__xludf.DUMMYFUNCTION("""COMPUTED_VALUE"""),FALSE)</f>
        <v>0</v>
      </c>
      <c r="Q28" s="86" t="b">
        <f>IFERROR(__xludf.DUMMYFUNCTION("""COMPUTED_VALUE"""),FALSE)</f>
        <v>0</v>
      </c>
      <c r="R28" s="87" t="b">
        <f>IFERROR(__xludf.DUMMYFUNCTION("""COMPUTED_VALUE"""),FALSE)</f>
        <v>0</v>
      </c>
      <c r="S28" s="87"/>
      <c r="T28" s="87"/>
      <c r="U28" s="87"/>
      <c r="V28" s="87"/>
    </row>
    <row r="29">
      <c r="A29" s="79" t="str">
        <f>IFERROR(__xludf.DUMMYFUNCTION("""COMPUTED_VALUE"""),"Hissey")</f>
        <v>Hissey</v>
      </c>
      <c r="B29" s="79" t="str">
        <f>IFERROR(__xludf.DUMMYFUNCTION("""COMPUTED_VALUE"""),"Heleen")</f>
        <v>Heleen</v>
      </c>
      <c r="C29" s="80" t="str">
        <f>IFERROR(__xludf.DUMMYFUNCTION("""COMPUTED_VALUE"""),"LSC")</f>
        <v>LSC</v>
      </c>
      <c r="D29" s="81">
        <f>IFERROR(__xludf.DUMMYFUNCTION("""COMPUTED_VALUE"""),19120.0)</f>
        <v>19120</v>
      </c>
      <c r="E29" s="82">
        <f>IFERROR(__xludf.DUMMYFUNCTION("""COMPUTED_VALUE"""),74.0)</f>
        <v>74</v>
      </c>
      <c r="F29" s="83" t="str">
        <f>IFERROR(__xludf.DUMMYFUNCTION("""COMPUTED_VALUE"""),"agtogwatnog@gmail.com")</f>
        <v>agtogwatnog@gmail.com</v>
      </c>
      <c r="G29" s="84">
        <f>IFERROR(__xludf.DUMMYFUNCTION("""COMPUTED_VALUE"""),8.32314513E8)</f>
        <v>832314513</v>
      </c>
      <c r="H29" s="82">
        <f>IFERROR(__xludf.DUMMYFUNCTION("""COMPUTED_VALUE"""),2.700171871E9)</f>
        <v>2700171871</v>
      </c>
      <c r="I29" s="83" t="str">
        <f>IFERROR(__xludf.DUMMYFUNCTION("""COMPUTED_VALUE"""),"San Lameer CC")</f>
        <v>San Lameer CC</v>
      </c>
      <c r="J29" s="81"/>
      <c r="K29" s="85">
        <f>IFERROR(__xludf.DUMMYFUNCTION("""COMPUTED_VALUE"""),127.0)</f>
        <v>127</v>
      </c>
      <c r="L29" s="86" t="b">
        <f>IFERROR(__xludf.DUMMYFUNCTION("""COMPUTED_VALUE"""),FALSE)</f>
        <v>0</v>
      </c>
      <c r="M29" s="86" t="b">
        <f>IFERROR(__xludf.DUMMYFUNCTION("""COMPUTED_VALUE"""),FALSE)</f>
        <v>0</v>
      </c>
      <c r="N29" s="86" t="b">
        <f>IFERROR(__xludf.DUMMYFUNCTION("""COMPUTED_VALUE"""),FALSE)</f>
        <v>0</v>
      </c>
      <c r="O29" s="86" t="b">
        <f>IFERROR(__xludf.DUMMYFUNCTION("""COMPUTED_VALUE"""),FALSE)</f>
        <v>0</v>
      </c>
      <c r="P29" s="86" t="b">
        <f>IFERROR(__xludf.DUMMYFUNCTION("""COMPUTED_VALUE"""),TRUE)</f>
        <v>1</v>
      </c>
      <c r="Q29" s="86" t="b">
        <f>IFERROR(__xludf.DUMMYFUNCTION("""COMPUTED_VALUE"""),FALSE)</f>
        <v>0</v>
      </c>
      <c r="R29" s="87" t="b">
        <f>IFERROR(__xludf.DUMMYFUNCTION("""COMPUTED_VALUE"""),FALSE)</f>
        <v>0</v>
      </c>
      <c r="S29" s="87"/>
      <c r="T29" s="87"/>
      <c r="U29" s="87"/>
      <c r="V29" s="87"/>
    </row>
    <row r="30">
      <c r="A30" s="79" t="str">
        <f>IFERROR(__xludf.DUMMYFUNCTION("""COMPUTED_VALUE"""),"Hissey")</f>
        <v>Hissey</v>
      </c>
      <c r="B30" s="79" t="str">
        <f>IFERROR(__xludf.DUMMYFUNCTION("""COMPUTED_VALUE"""),"Roger")</f>
        <v>Roger</v>
      </c>
      <c r="C30" s="80" t="str">
        <f>IFERROR(__xludf.DUMMYFUNCTION("""COMPUTED_VALUE"""),"LSC")</f>
        <v>LSC</v>
      </c>
      <c r="D30" s="81">
        <f>IFERROR(__xludf.DUMMYFUNCTION("""COMPUTED_VALUE"""),18556.0)</f>
        <v>18556</v>
      </c>
      <c r="E30" s="82">
        <f>IFERROR(__xludf.DUMMYFUNCTION("""COMPUTED_VALUE"""),75.0)</f>
        <v>75</v>
      </c>
      <c r="F30" s="83" t="str">
        <f>IFERROR(__xludf.DUMMYFUNCTION("""COMPUTED_VALUE"""),"rogerhissey@gmail.com")</f>
        <v>rogerhissey@gmail.com</v>
      </c>
      <c r="G30" s="84">
        <f>IFERROR(__xludf.DUMMYFUNCTION("""COMPUTED_VALUE"""),7.82148706E8)</f>
        <v>782148706</v>
      </c>
      <c r="H30" s="82">
        <f>IFERROR(__xludf.DUMMYFUNCTION("""COMPUTED_VALUE"""),2.700172247E9)</f>
        <v>2700172247</v>
      </c>
      <c r="I30" s="83" t="str">
        <f>IFERROR(__xludf.DUMMYFUNCTION("""COMPUTED_VALUE"""),"San Lameer CC")</f>
        <v>San Lameer CC</v>
      </c>
      <c r="J30" s="81"/>
      <c r="K30" s="85">
        <f>IFERROR(__xludf.DUMMYFUNCTION("""COMPUTED_VALUE"""),127.0)</f>
        <v>127</v>
      </c>
      <c r="L30" s="86" t="b">
        <f>IFERROR(__xludf.DUMMYFUNCTION("""COMPUTED_VALUE"""),FALSE)</f>
        <v>0</v>
      </c>
      <c r="M30" s="86" t="b">
        <f>IFERROR(__xludf.DUMMYFUNCTION("""COMPUTED_VALUE"""),FALSE)</f>
        <v>0</v>
      </c>
      <c r="N30" s="86" t="b">
        <f>IFERROR(__xludf.DUMMYFUNCTION("""COMPUTED_VALUE"""),FALSE)</f>
        <v>0</v>
      </c>
      <c r="O30" s="86" t="b">
        <f>IFERROR(__xludf.DUMMYFUNCTION("""COMPUTED_VALUE"""),FALSE)</f>
        <v>0</v>
      </c>
      <c r="P30" s="86" t="b">
        <f>IFERROR(__xludf.DUMMYFUNCTION("""COMPUTED_VALUE"""),FALSE)</f>
        <v>0</v>
      </c>
      <c r="Q30" s="86" t="b">
        <f>IFERROR(__xludf.DUMMYFUNCTION("""COMPUTED_VALUE"""),FALSE)</f>
        <v>0</v>
      </c>
      <c r="R30" s="87" t="b">
        <f>IFERROR(__xludf.DUMMYFUNCTION("""COMPUTED_VALUE"""),FALSE)</f>
        <v>0</v>
      </c>
      <c r="S30" s="87"/>
      <c r="T30" s="87"/>
      <c r="U30" s="87"/>
      <c r="V30" s="87"/>
    </row>
    <row r="31">
      <c r="A31" s="79" t="str">
        <f>IFERROR(__xludf.DUMMYFUNCTION("""COMPUTED_VALUE"""),"Holmes")</f>
        <v>Holmes</v>
      </c>
      <c r="B31" s="79" t="str">
        <f>IFERROR(__xludf.DUMMYFUNCTION("""COMPUTED_VALUE"""),"Bruce")</f>
        <v>Bruce</v>
      </c>
      <c r="C31" s="80" t="str">
        <f>IFERROR(__xludf.DUMMYFUNCTION("""COMPUTED_VALUE"""),"LSC")</f>
        <v>LSC</v>
      </c>
      <c r="D31" s="81">
        <f>IFERROR(__xludf.DUMMYFUNCTION("""COMPUTED_VALUE"""),20201.0)</f>
        <v>20201</v>
      </c>
      <c r="E31" s="82">
        <f>IFERROR(__xludf.DUMMYFUNCTION("""COMPUTED_VALUE"""),71.0)</f>
        <v>71</v>
      </c>
      <c r="F31" s="83" t="str">
        <f>IFERROR(__xludf.DUMMYFUNCTION("""COMPUTED_VALUE"""),"holmes.brucev@gmail.com")</f>
        <v>holmes.brucev@gmail.com</v>
      </c>
      <c r="G31" s="84">
        <f>IFERROR(__xludf.DUMMYFUNCTION("""COMPUTED_VALUE"""),8.32898408E8)</f>
        <v>832898408</v>
      </c>
      <c r="H31" s="82">
        <f>IFERROR(__xludf.DUMMYFUNCTION("""COMPUTED_VALUE"""),2.700292669E9)</f>
        <v>2700292669</v>
      </c>
      <c r="I31" s="83" t="str">
        <f>IFERROR(__xludf.DUMMYFUNCTION("""COMPUTED_VALUE"""),"Port Shepstone CC")</f>
        <v>Port Shepstone CC</v>
      </c>
      <c r="J31" s="81">
        <f>IFERROR(__xludf.DUMMYFUNCTION("""COMPUTED_VALUE"""),45792.0)</f>
        <v>45792</v>
      </c>
      <c r="K31" s="85">
        <f>IFERROR(__xludf.DUMMYFUNCTION("""COMPUTED_VALUE"""),1.0)</f>
        <v>1</v>
      </c>
      <c r="L31" s="86" t="b">
        <f>IFERROR(__xludf.DUMMYFUNCTION("""COMPUTED_VALUE"""),FALSE)</f>
        <v>0</v>
      </c>
      <c r="M31" s="86" t="b">
        <f>IFERROR(__xludf.DUMMYFUNCTION("""COMPUTED_VALUE"""),FALSE)</f>
        <v>0</v>
      </c>
      <c r="N31" s="86" t="b">
        <f>IFERROR(__xludf.DUMMYFUNCTION("""COMPUTED_VALUE"""),FALSE)</f>
        <v>0</v>
      </c>
      <c r="O31" s="86" t="b">
        <f>IFERROR(__xludf.DUMMYFUNCTION("""COMPUTED_VALUE"""),FALSE)</f>
        <v>0</v>
      </c>
      <c r="P31" s="86" t="b">
        <f>IFERROR(__xludf.DUMMYFUNCTION("""COMPUTED_VALUE"""),FALSE)</f>
        <v>0</v>
      </c>
      <c r="Q31" s="86" t="b">
        <f>IFERROR(__xludf.DUMMYFUNCTION("""COMPUTED_VALUE"""),FALSE)</f>
        <v>0</v>
      </c>
      <c r="R31" s="87" t="b">
        <f>IFERROR(__xludf.DUMMYFUNCTION("""COMPUTED_VALUE"""),FALSE)</f>
        <v>0</v>
      </c>
      <c r="S31" s="87"/>
      <c r="T31" s="87"/>
      <c r="U31" s="87"/>
      <c r="V31" s="87"/>
    </row>
    <row r="32">
      <c r="A32" s="79" t="str">
        <f>IFERROR(__xludf.DUMMYFUNCTION("""COMPUTED_VALUE"""),"Holmes")</f>
        <v>Holmes</v>
      </c>
      <c r="B32" s="79" t="str">
        <f>IFERROR(__xludf.DUMMYFUNCTION("""COMPUTED_VALUE"""),"Shane")</f>
        <v>Shane</v>
      </c>
      <c r="C32" s="80" t="str">
        <f>IFERROR(__xludf.DUMMYFUNCTION("""COMPUTED_VALUE"""),"LSC")</f>
        <v>LSC</v>
      </c>
      <c r="D32" s="81">
        <f>IFERROR(__xludf.DUMMYFUNCTION("""COMPUTED_VALUE"""),21706.0)</f>
        <v>21706</v>
      </c>
      <c r="E32" s="82">
        <f>IFERROR(__xludf.DUMMYFUNCTION("""COMPUTED_VALUE"""),67.0)</f>
        <v>67</v>
      </c>
      <c r="F32" s="83" t="str">
        <f>IFERROR(__xludf.DUMMYFUNCTION("""COMPUTED_VALUE"""),"braaipack455@gmail.com")</f>
        <v>braaipack455@gmail.com</v>
      </c>
      <c r="G32" s="84">
        <f>IFERROR(__xludf.DUMMYFUNCTION("""COMPUTED_VALUE"""),7.19830716E8)</f>
        <v>719830716</v>
      </c>
      <c r="H32" s="82">
        <f>IFERROR(__xludf.DUMMYFUNCTION("""COMPUTED_VALUE"""),2.700146165E9)</f>
        <v>2700146165</v>
      </c>
      <c r="I32" s="83" t="str">
        <f>IFERROR(__xludf.DUMMYFUNCTION("""COMPUTED_VALUE"""),"Port Edward CC")</f>
        <v>Port Edward CC</v>
      </c>
      <c r="J32" s="81">
        <f>IFERROR(__xludf.DUMMYFUNCTION("""COMPUTED_VALUE"""),46051.0)</f>
        <v>46051</v>
      </c>
      <c r="K32" s="85">
        <f>IFERROR(__xludf.DUMMYFUNCTION("""COMPUTED_VALUE"""),0.0)</f>
        <v>0</v>
      </c>
      <c r="L32" s="86" t="b">
        <f>IFERROR(__xludf.DUMMYFUNCTION("""COMPUTED_VALUE"""),FALSE)</f>
        <v>0</v>
      </c>
      <c r="M32" s="86" t="b">
        <f>IFERROR(__xludf.DUMMYFUNCTION("""COMPUTED_VALUE"""),FALSE)</f>
        <v>0</v>
      </c>
      <c r="N32" s="86" t="b">
        <f>IFERROR(__xludf.DUMMYFUNCTION("""COMPUTED_VALUE"""),FALSE)</f>
        <v>0</v>
      </c>
      <c r="O32" s="86" t="b">
        <f>IFERROR(__xludf.DUMMYFUNCTION("""COMPUTED_VALUE"""),FALSE)</f>
        <v>0</v>
      </c>
      <c r="P32" s="86" t="b">
        <f>IFERROR(__xludf.DUMMYFUNCTION("""COMPUTED_VALUE"""),FALSE)</f>
        <v>0</v>
      </c>
      <c r="Q32" s="86" t="b">
        <f>IFERROR(__xludf.DUMMYFUNCTION("""COMPUTED_VALUE"""),FALSE)</f>
        <v>0</v>
      </c>
      <c r="R32" s="87" t="b">
        <f>IFERROR(__xludf.DUMMYFUNCTION("""COMPUTED_VALUE"""),FALSE)</f>
        <v>0</v>
      </c>
      <c r="S32" s="87"/>
      <c r="T32" s="87"/>
      <c r="U32" s="87"/>
      <c r="V32" s="87"/>
    </row>
    <row r="33">
      <c r="A33" s="79" t="str">
        <f>IFERROR(__xludf.DUMMYFUNCTION("""COMPUTED_VALUE"""),"Howarth")</f>
        <v>Howarth</v>
      </c>
      <c r="B33" s="79" t="str">
        <f>IFERROR(__xludf.DUMMYFUNCTION("""COMPUTED_VALUE"""),"Peter")</f>
        <v>Peter</v>
      </c>
      <c r="C33" s="80" t="str">
        <f>IFERROR(__xludf.DUMMYFUNCTION("""COMPUTED_VALUE"""),"LSC")</f>
        <v>LSC</v>
      </c>
      <c r="D33" s="81">
        <f>IFERROR(__xludf.DUMMYFUNCTION("""COMPUTED_VALUE"""),17265.0)</f>
        <v>17265</v>
      </c>
      <c r="E33" s="82">
        <f>IFERROR(__xludf.DUMMYFUNCTION("""COMPUTED_VALUE"""),79.0)</f>
        <v>79</v>
      </c>
      <c r="F33" s="83" t="str">
        <f>IFERROR(__xludf.DUMMYFUNCTION("""COMPUTED_VALUE"""),"peternicoleh.64@gmail.com")</f>
        <v>peternicoleh.64@gmail.com</v>
      </c>
      <c r="G33" s="84">
        <f>IFERROR(__xludf.DUMMYFUNCTION("""COMPUTED_VALUE"""),7.65883454E8)</f>
        <v>765883454</v>
      </c>
      <c r="H33" s="82">
        <f>IFERROR(__xludf.DUMMYFUNCTION("""COMPUTED_VALUE"""),2.70018922E9)</f>
        <v>2700189220</v>
      </c>
      <c r="I33" s="83" t="str">
        <f>IFERROR(__xludf.DUMMYFUNCTION("""COMPUTED_VALUE"""),"Port Edward CC")</f>
        <v>Port Edward CC</v>
      </c>
      <c r="J33" s="81">
        <f>IFERROR(__xludf.DUMMYFUNCTION("""COMPUTED_VALUE"""),46051.0)</f>
        <v>46051</v>
      </c>
      <c r="K33" s="85">
        <f>IFERROR(__xludf.DUMMYFUNCTION("""COMPUTED_VALUE"""),0.0)</f>
        <v>0</v>
      </c>
      <c r="L33" s="86" t="b">
        <f>IFERROR(__xludf.DUMMYFUNCTION("""COMPUTED_VALUE"""),FALSE)</f>
        <v>0</v>
      </c>
      <c r="M33" s="86" t="b">
        <f>IFERROR(__xludf.DUMMYFUNCTION("""COMPUTED_VALUE"""),FALSE)</f>
        <v>0</v>
      </c>
      <c r="N33" s="86" t="b">
        <f>IFERROR(__xludf.DUMMYFUNCTION("""COMPUTED_VALUE"""),FALSE)</f>
        <v>0</v>
      </c>
      <c r="O33" s="86" t="b">
        <f>IFERROR(__xludf.DUMMYFUNCTION("""COMPUTED_VALUE"""),FALSE)</f>
        <v>0</v>
      </c>
      <c r="P33" s="86" t="b">
        <f>IFERROR(__xludf.DUMMYFUNCTION("""COMPUTED_VALUE"""),FALSE)</f>
        <v>0</v>
      </c>
      <c r="Q33" s="86" t="b">
        <f>IFERROR(__xludf.DUMMYFUNCTION("""COMPUTED_VALUE"""),FALSE)</f>
        <v>0</v>
      </c>
      <c r="R33" s="87" t="b">
        <f>IFERROR(__xludf.DUMMYFUNCTION("""COMPUTED_VALUE"""),FALSE)</f>
        <v>0</v>
      </c>
      <c r="S33" s="87"/>
      <c r="T33" s="87"/>
      <c r="U33" s="87"/>
      <c r="V33" s="87"/>
    </row>
    <row r="34">
      <c r="A34" s="79" t="str">
        <f>IFERROR(__xludf.DUMMYFUNCTION("""COMPUTED_VALUE"""),"Howden")</f>
        <v>Howden</v>
      </c>
      <c r="B34" s="79" t="str">
        <f>IFERROR(__xludf.DUMMYFUNCTION("""COMPUTED_VALUE"""),"Dawn")</f>
        <v>Dawn</v>
      </c>
      <c r="C34" s="80" t="str">
        <f>IFERROR(__xludf.DUMMYFUNCTION("""COMPUTED_VALUE"""),"LSC")</f>
        <v>LSC</v>
      </c>
      <c r="D34" s="81">
        <f>IFERROR(__xludf.DUMMYFUNCTION("""COMPUTED_VALUE"""),23299.0)</f>
        <v>23299</v>
      </c>
      <c r="E34" s="82">
        <f>IFERROR(__xludf.DUMMYFUNCTION("""COMPUTED_VALUE"""),62.0)</f>
        <v>62</v>
      </c>
      <c r="F34" s="83" t="str">
        <f>IFERROR(__xludf.DUMMYFUNCTION("""COMPUTED_VALUE"""),"howdendawn@gmail.com")</f>
        <v>howdendawn@gmail.com</v>
      </c>
      <c r="G34" s="84">
        <f>IFERROR(__xludf.DUMMYFUNCTION("""COMPUTED_VALUE"""),8.35531135E8)</f>
        <v>835531135</v>
      </c>
      <c r="H34" s="82">
        <f>IFERROR(__xludf.DUMMYFUNCTION("""COMPUTED_VALUE"""),2.700377302E9)</f>
        <v>2700377302</v>
      </c>
      <c r="I34" s="83" t="str">
        <f>IFERROR(__xludf.DUMMYFUNCTION("""COMPUTED_VALUE"""),"Margate CC")</f>
        <v>Margate CC</v>
      </c>
      <c r="J34" s="81">
        <f>IFERROR(__xludf.DUMMYFUNCTION("""COMPUTED_VALUE"""),45951.0)</f>
        <v>45951</v>
      </c>
      <c r="K34" s="85">
        <f>IFERROR(__xludf.DUMMYFUNCTION("""COMPUTED_VALUE"""),1.0)</f>
        <v>1</v>
      </c>
      <c r="L34" s="86" t="b">
        <f>IFERROR(__xludf.DUMMYFUNCTION("""COMPUTED_VALUE"""),FALSE)</f>
        <v>0</v>
      </c>
      <c r="M34" s="86" t="b">
        <f>IFERROR(__xludf.DUMMYFUNCTION("""COMPUTED_VALUE"""),FALSE)</f>
        <v>0</v>
      </c>
      <c r="N34" s="86" t="b">
        <f>IFERROR(__xludf.DUMMYFUNCTION("""COMPUTED_VALUE"""),FALSE)</f>
        <v>0</v>
      </c>
      <c r="O34" s="86" t="b">
        <f>IFERROR(__xludf.DUMMYFUNCTION("""COMPUTED_VALUE"""),FALSE)</f>
        <v>0</v>
      </c>
      <c r="P34" s="86" t="b">
        <f>IFERROR(__xludf.DUMMYFUNCTION("""COMPUTED_VALUE"""),TRUE)</f>
        <v>1</v>
      </c>
      <c r="Q34" s="86" t="b">
        <f>IFERROR(__xludf.DUMMYFUNCTION("""COMPUTED_VALUE"""),FALSE)</f>
        <v>0</v>
      </c>
      <c r="R34" s="87" t="b">
        <f>IFERROR(__xludf.DUMMYFUNCTION("""COMPUTED_VALUE"""),FALSE)</f>
        <v>0</v>
      </c>
      <c r="S34" s="87"/>
      <c r="T34" s="87"/>
      <c r="U34" s="87"/>
      <c r="V34" s="87"/>
    </row>
    <row r="35">
      <c r="A35" s="79" t="str">
        <f>IFERROR(__xludf.DUMMYFUNCTION("""COMPUTED_VALUE"""),"Howden")</f>
        <v>Howden</v>
      </c>
      <c r="B35" s="79" t="str">
        <f>IFERROR(__xludf.DUMMYFUNCTION("""COMPUTED_VALUE"""),"Kim")</f>
        <v>Kim</v>
      </c>
      <c r="C35" s="80" t="str">
        <f>IFERROR(__xludf.DUMMYFUNCTION("""COMPUTED_VALUE"""),"LSC")</f>
        <v>LSC</v>
      </c>
      <c r="D35" s="81">
        <f>IFERROR(__xludf.DUMMYFUNCTION("""COMPUTED_VALUE"""),22721.0)</f>
        <v>22721</v>
      </c>
      <c r="E35" s="82">
        <f>IFERROR(__xludf.DUMMYFUNCTION("""COMPUTED_VALUE"""),64.0)</f>
        <v>64</v>
      </c>
      <c r="F35" s="83" t="str">
        <f>IFERROR(__xludf.DUMMYFUNCTION("""COMPUTED_VALUE"""),"kimhowden1@gmail.com")</f>
        <v>kimhowden1@gmail.com</v>
      </c>
      <c r="G35" s="84">
        <f>IFERROR(__xludf.DUMMYFUNCTION("""COMPUTED_VALUE"""),8.27812496E8)</f>
        <v>827812496</v>
      </c>
      <c r="H35" s="82">
        <f>IFERROR(__xludf.DUMMYFUNCTION("""COMPUTED_VALUE"""),2.700377303E9)</f>
        <v>2700377303</v>
      </c>
      <c r="I35" s="83" t="str">
        <f>IFERROR(__xludf.DUMMYFUNCTION("""COMPUTED_VALUE"""),"Margate CC")</f>
        <v>Margate CC</v>
      </c>
      <c r="J35" s="81">
        <f>IFERROR(__xludf.DUMMYFUNCTION("""COMPUTED_VALUE"""),45951.0)</f>
        <v>45951</v>
      </c>
      <c r="K35" s="85">
        <f>IFERROR(__xludf.DUMMYFUNCTION("""COMPUTED_VALUE"""),1.0)</f>
        <v>1</v>
      </c>
      <c r="L35" s="86" t="b">
        <f>IFERROR(__xludf.DUMMYFUNCTION("""COMPUTED_VALUE"""),FALSE)</f>
        <v>0</v>
      </c>
      <c r="M35" s="86" t="b">
        <f>IFERROR(__xludf.DUMMYFUNCTION("""COMPUTED_VALUE"""),FALSE)</f>
        <v>0</v>
      </c>
      <c r="N35" s="86" t="b">
        <f>IFERROR(__xludf.DUMMYFUNCTION("""COMPUTED_VALUE"""),FALSE)</f>
        <v>0</v>
      </c>
      <c r="O35" s="86" t="b">
        <f>IFERROR(__xludf.DUMMYFUNCTION("""COMPUTED_VALUE"""),FALSE)</f>
        <v>0</v>
      </c>
      <c r="P35" s="86" t="b">
        <f>IFERROR(__xludf.DUMMYFUNCTION("""COMPUTED_VALUE"""),FALSE)</f>
        <v>0</v>
      </c>
      <c r="Q35" s="86" t="b">
        <f>IFERROR(__xludf.DUMMYFUNCTION("""COMPUTED_VALUE"""),FALSE)</f>
        <v>0</v>
      </c>
      <c r="R35" s="87" t="b">
        <f>IFERROR(__xludf.DUMMYFUNCTION("""COMPUTED_VALUE"""),FALSE)</f>
        <v>0</v>
      </c>
      <c r="S35" s="87"/>
      <c r="T35" s="87"/>
      <c r="U35" s="87"/>
      <c r="V35" s="87"/>
    </row>
    <row r="36">
      <c r="A36" s="79" t="str">
        <f>IFERROR(__xludf.DUMMYFUNCTION("""COMPUTED_VALUE"""),"Hulley")</f>
        <v>Hulley</v>
      </c>
      <c r="B36" s="79" t="str">
        <f>IFERROR(__xludf.DUMMYFUNCTION("""COMPUTED_VALUE"""),"Jen")</f>
        <v>Jen</v>
      </c>
      <c r="C36" s="80" t="str">
        <f>IFERROR(__xludf.DUMMYFUNCTION("""COMPUTED_VALUE"""),"LSC")</f>
        <v>LSC</v>
      </c>
      <c r="D36" s="81">
        <f>IFERROR(__xludf.DUMMYFUNCTION("""COMPUTED_VALUE"""),22039.0)</f>
        <v>22039</v>
      </c>
      <c r="E36" s="82">
        <f>IFERROR(__xludf.DUMMYFUNCTION("""COMPUTED_VALUE"""),66.0)</f>
        <v>66</v>
      </c>
      <c r="F36" s="83" t="str">
        <f>IFERROR(__xludf.DUMMYFUNCTION("""COMPUTED_VALUE"""),"jhulleyrsa@gmail.com")</f>
        <v>jhulleyrsa@gmail.com</v>
      </c>
      <c r="G36" s="84">
        <f>IFERROR(__xludf.DUMMYFUNCTION("""COMPUTED_VALUE"""),8.27092223E8)</f>
        <v>827092223</v>
      </c>
      <c r="H36" s="82">
        <f>IFERROR(__xludf.DUMMYFUNCTION("""COMPUTED_VALUE"""),2.700270543E9)</f>
        <v>2700270543</v>
      </c>
      <c r="I36" s="83" t="str">
        <f>IFERROR(__xludf.DUMMYFUNCTION("""COMPUTED_VALUE"""),"Port Shepstone CC")</f>
        <v>Port Shepstone CC</v>
      </c>
      <c r="J36" s="81">
        <f>IFERROR(__xludf.DUMMYFUNCTION("""COMPUTED_VALUE"""),45933.0)</f>
        <v>45933</v>
      </c>
      <c r="K36" s="85">
        <f>IFERROR(__xludf.DUMMYFUNCTION("""COMPUTED_VALUE"""),1.0)</f>
        <v>1</v>
      </c>
      <c r="L36" s="86" t="b">
        <f>IFERROR(__xludf.DUMMYFUNCTION("""COMPUTED_VALUE"""),FALSE)</f>
        <v>0</v>
      </c>
      <c r="M36" s="86" t="b">
        <f>IFERROR(__xludf.DUMMYFUNCTION("""COMPUTED_VALUE"""),FALSE)</f>
        <v>0</v>
      </c>
      <c r="N36" s="86" t="b">
        <f>IFERROR(__xludf.DUMMYFUNCTION("""COMPUTED_VALUE"""),FALSE)</f>
        <v>0</v>
      </c>
      <c r="O36" s="86" t="b">
        <f>IFERROR(__xludf.DUMMYFUNCTION("""COMPUTED_VALUE"""),FALSE)</f>
        <v>0</v>
      </c>
      <c r="P36" s="86" t="b">
        <f>IFERROR(__xludf.DUMMYFUNCTION("""COMPUTED_VALUE"""),TRUE)</f>
        <v>1</v>
      </c>
      <c r="Q36" s="86" t="b">
        <f>IFERROR(__xludf.DUMMYFUNCTION("""COMPUTED_VALUE"""),FALSE)</f>
        <v>0</v>
      </c>
      <c r="R36" s="87" t="b">
        <f>IFERROR(__xludf.DUMMYFUNCTION("""COMPUTED_VALUE"""),FALSE)</f>
        <v>0</v>
      </c>
      <c r="S36" s="87"/>
      <c r="T36" s="87"/>
      <c r="U36" s="87"/>
      <c r="V36" s="87"/>
    </row>
    <row r="37">
      <c r="A37" s="79" t="str">
        <f>IFERROR(__xludf.DUMMYFUNCTION("""COMPUTED_VALUE"""),"Jacobsz")</f>
        <v>Jacobsz</v>
      </c>
      <c r="B37" s="79" t="str">
        <f>IFERROR(__xludf.DUMMYFUNCTION("""COMPUTED_VALUE"""),"David")</f>
        <v>David</v>
      </c>
      <c r="C37" s="80" t="str">
        <f>IFERROR(__xludf.DUMMYFUNCTION("""COMPUTED_VALUE"""),"LSC")</f>
        <v>LSC</v>
      </c>
      <c r="D37" s="81">
        <f>IFERROR(__xludf.DUMMYFUNCTION("""COMPUTED_VALUE"""),19993.0)</f>
        <v>19993</v>
      </c>
      <c r="E37" s="82">
        <f>IFERROR(__xludf.DUMMYFUNCTION("""COMPUTED_VALUE"""),71.0)</f>
        <v>71</v>
      </c>
      <c r="F37" s="83" t="str">
        <f>IFERROR(__xludf.DUMMYFUNCTION("""COMPUTED_VALUE"""),"dhjacobsz@absamail.co.za")</f>
        <v>dhjacobsz@absamail.co.za</v>
      </c>
      <c r="G37" s="84">
        <f>IFERROR(__xludf.DUMMYFUNCTION("""COMPUTED_VALUE"""),8.29281156E8)</f>
        <v>829281156</v>
      </c>
      <c r="H37" s="82">
        <f>IFERROR(__xludf.DUMMYFUNCTION("""COMPUTED_VALUE"""),2.700074637E9)</f>
        <v>2700074637</v>
      </c>
      <c r="I37" s="83" t="str">
        <f>IFERROR(__xludf.DUMMYFUNCTION("""COMPUTED_VALUE"""),"Margate CC")</f>
        <v>Margate CC</v>
      </c>
      <c r="J37" s="81">
        <f>IFERROR(__xludf.DUMMYFUNCTION("""COMPUTED_VALUE"""),45940.0)</f>
        <v>45940</v>
      </c>
      <c r="K37" s="85">
        <f>IFERROR(__xludf.DUMMYFUNCTION("""COMPUTED_VALUE"""),1.0)</f>
        <v>1</v>
      </c>
      <c r="L37" s="86" t="b">
        <f>IFERROR(__xludf.DUMMYFUNCTION("""COMPUTED_VALUE"""),FALSE)</f>
        <v>0</v>
      </c>
      <c r="M37" s="86" t="b">
        <f>IFERROR(__xludf.DUMMYFUNCTION("""COMPUTED_VALUE"""),FALSE)</f>
        <v>0</v>
      </c>
      <c r="N37" s="86" t="b">
        <f>IFERROR(__xludf.DUMMYFUNCTION("""COMPUTED_VALUE"""),FALSE)</f>
        <v>0</v>
      </c>
      <c r="O37" s="86" t="b">
        <f>IFERROR(__xludf.DUMMYFUNCTION("""COMPUTED_VALUE"""),FALSE)</f>
        <v>0</v>
      </c>
      <c r="P37" s="86" t="b">
        <f>IFERROR(__xludf.DUMMYFUNCTION("""COMPUTED_VALUE"""),FALSE)</f>
        <v>0</v>
      </c>
      <c r="Q37" s="86" t="b">
        <f>IFERROR(__xludf.DUMMYFUNCTION("""COMPUTED_VALUE"""),FALSE)</f>
        <v>0</v>
      </c>
      <c r="R37" s="87" t="b">
        <f>IFERROR(__xludf.DUMMYFUNCTION("""COMPUTED_VALUE"""),FALSE)</f>
        <v>0</v>
      </c>
      <c r="S37" s="87"/>
      <c r="T37" s="87"/>
      <c r="U37" s="87"/>
      <c r="V37" s="87"/>
    </row>
    <row r="38">
      <c r="A38" s="79" t="str">
        <f>IFERROR(__xludf.DUMMYFUNCTION("""COMPUTED_VALUE"""),"Johnston")</f>
        <v>Johnston</v>
      </c>
      <c r="B38" s="79" t="str">
        <f>IFERROR(__xludf.DUMMYFUNCTION("""COMPUTED_VALUE"""),"Doug")</f>
        <v>Doug</v>
      </c>
      <c r="C38" s="80" t="str">
        <f>IFERROR(__xludf.DUMMYFUNCTION("""COMPUTED_VALUE"""),"LSC")</f>
        <v>LSC</v>
      </c>
      <c r="D38" s="81">
        <f>IFERROR(__xludf.DUMMYFUNCTION("""COMPUTED_VALUE"""),19035.0)</f>
        <v>19035</v>
      </c>
      <c r="E38" s="82">
        <f>IFERROR(__xludf.DUMMYFUNCTION("""COMPUTED_VALUE"""),74.0)</f>
        <v>74</v>
      </c>
      <c r="F38" s="83" t="str">
        <f>IFERROR(__xludf.DUMMYFUNCTION("""COMPUTED_VALUE"""),"douglasj@telkomsa.net")</f>
        <v>douglasj@telkomsa.net</v>
      </c>
      <c r="G38" s="84">
        <f>IFERROR(__xludf.DUMMYFUNCTION("""COMPUTED_VALUE"""),8.3388331E8)</f>
        <v>833883310</v>
      </c>
      <c r="H38" s="82">
        <f>IFERROR(__xludf.DUMMYFUNCTION("""COMPUTED_VALUE"""),2.700103924E9)</f>
        <v>2700103924</v>
      </c>
      <c r="I38" s="83" t="str">
        <f>IFERROR(__xludf.DUMMYFUNCTION("""COMPUTED_VALUE"""),"Drak Gardens")</f>
        <v>Drak Gardens</v>
      </c>
      <c r="J38" s="81">
        <f>IFERROR(__xludf.DUMMYFUNCTION("""COMPUTED_VALUE"""),46056.0)</f>
        <v>46056</v>
      </c>
      <c r="K38" s="85">
        <f>IFERROR(__xludf.DUMMYFUNCTION("""COMPUTED_VALUE"""),0.0)</f>
        <v>0</v>
      </c>
      <c r="L38" s="86" t="b">
        <f>IFERROR(__xludf.DUMMYFUNCTION("""COMPUTED_VALUE"""),FALSE)</f>
        <v>0</v>
      </c>
      <c r="M38" s="86" t="b">
        <f>IFERROR(__xludf.DUMMYFUNCTION("""COMPUTED_VALUE"""),FALSE)</f>
        <v>0</v>
      </c>
      <c r="N38" s="86" t="b">
        <f>IFERROR(__xludf.DUMMYFUNCTION("""COMPUTED_VALUE"""),FALSE)</f>
        <v>0</v>
      </c>
      <c r="O38" s="86" t="b">
        <f>IFERROR(__xludf.DUMMYFUNCTION("""COMPUTED_VALUE"""),FALSE)</f>
        <v>0</v>
      </c>
      <c r="P38" s="86" t="b">
        <f>IFERROR(__xludf.DUMMYFUNCTION("""COMPUTED_VALUE"""),FALSE)</f>
        <v>0</v>
      </c>
      <c r="Q38" s="86" t="b">
        <f>IFERROR(__xludf.DUMMYFUNCTION("""COMPUTED_VALUE"""),FALSE)</f>
        <v>0</v>
      </c>
      <c r="R38" s="87" t="b">
        <f>IFERROR(__xludf.DUMMYFUNCTION("""COMPUTED_VALUE"""),FALSE)</f>
        <v>0</v>
      </c>
      <c r="S38" s="87"/>
      <c r="T38" s="87"/>
      <c r="U38" s="87"/>
      <c r="V38" s="87"/>
    </row>
    <row r="39">
      <c r="A39" s="79" t="str">
        <f>IFERROR(__xludf.DUMMYFUNCTION("""COMPUTED_VALUE"""),"Johnston")</f>
        <v>Johnston</v>
      </c>
      <c r="B39" s="79" t="str">
        <f>IFERROR(__xludf.DUMMYFUNCTION("""COMPUTED_VALUE"""),"Sandi")</f>
        <v>Sandi</v>
      </c>
      <c r="C39" s="80" t="str">
        <f>IFERROR(__xludf.DUMMYFUNCTION("""COMPUTED_VALUE"""),"LSC")</f>
        <v>LSC</v>
      </c>
      <c r="D39" s="81">
        <f>IFERROR(__xludf.DUMMYFUNCTION("""COMPUTED_VALUE"""),20894.0)</f>
        <v>20894</v>
      </c>
      <c r="E39" s="82">
        <f>IFERROR(__xludf.DUMMYFUNCTION("""COMPUTED_VALUE"""),69.0)</f>
        <v>69</v>
      </c>
      <c r="F39" s="83" t="str">
        <f>IFERROR(__xludf.DUMMYFUNCTION("""COMPUTED_VALUE"""),"geckomoon@telkomsa.net")</f>
        <v>geckomoon@telkomsa.net</v>
      </c>
      <c r="G39" s="84">
        <f>IFERROR(__xludf.DUMMYFUNCTION("""COMPUTED_VALUE"""),8.2602164E8)</f>
        <v>826021640</v>
      </c>
      <c r="H39" s="82">
        <f>IFERROR(__xludf.DUMMYFUNCTION("""COMPUTED_VALUE"""),2.70010366E9)</f>
        <v>2700103660</v>
      </c>
      <c r="I39" s="83" t="str">
        <f>IFERROR(__xludf.DUMMYFUNCTION("""COMPUTED_VALUE"""),"Margate CC")</f>
        <v>Margate CC</v>
      </c>
      <c r="J39" s="81">
        <f>IFERROR(__xludf.DUMMYFUNCTION("""COMPUTED_VALUE"""),45944.0)</f>
        <v>45944</v>
      </c>
      <c r="K39" s="85">
        <f>IFERROR(__xludf.DUMMYFUNCTION("""COMPUTED_VALUE"""),1.0)</f>
        <v>1</v>
      </c>
      <c r="L39" s="86" t="b">
        <f>IFERROR(__xludf.DUMMYFUNCTION("""COMPUTED_VALUE"""),FALSE)</f>
        <v>0</v>
      </c>
      <c r="M39" s="86" t="b">
        <f>IFERROR(__xludf.DUMMYFUNCTION("""COMPUTED_VALUE"""),FALSE)</f>
        <v>0</v>
      </c>
      <c r="N39" s="86" t="b">
        <f>IFERROR(__xludf.DUMMYFUNCTION("""COMPUTED_VALUE"""),FALSE)</f>
        <v>0</v>
      </c>
      <c r="O39" s="86" t="b">
        <f>IFERROR(__xludf.DUMMYFUNCTION("""COMPUTED_VALUE"""),FALSE)</f>
        <v>0</v>
      </c>
      <c r="P39" s="86" t="b">
        <f>IFERROR(__xludf.DUMMYFUNCTION("""COMPUTED_VALUE"""),TRUE)</f>
        <v>1</v>
      </c>
      <c r="Q39" s="86" t="b">
        <f>IFERROR(__xludf.DUMMYFUNCTION("""COMPUTED_VALUE"""),FALSE)</f>
        <v>0</v>
      </c>
      <c r="R39" s="87" t="b">
        <f>IFERROR(__xludf.DUMMYFUNCTION("""COMPUTED_VALUE"""),FALSE)</f>
        <v>0</v>
      </c>
      <c r="S39" s="87"/>
      <c r="T39" s="87"/>
      <c r="U39" s="87"/>
      <c r="V39" s="87"/>
    </row>
    <row r="40">
      <c r="A40" s="79" t="str">
        <f>IFERROR(__xludf.DUMMYFUNCTION("""COMPUTED_VALUE"""),"Jordaan")</f>
        <v>Jordaan</v>
      </c>
      <c r="B40" s="79" t="str">
        <f>IFERROR(__xludf.DUMMYFUNCTION("""COMPUTED_VALUE"""),"Willem")</f>
        <v>Willem</v>
      </c>
      <c r="C40" s="80" t="str">
        <f>IFERROR(__xludf.DUMMYFUNCTION("""COMPUTED_VALUE"""),"LSC")</f>
        <v>LSC</v>
      </c>
      <c r="D40" s="81">
        <f>IFERROR(__xludf.DUMMYFUNCTION("""COMPUTED_VALUE"""),20875.0)</f>
        <v>20875</v>
      </c>
      <c r="E40" s="82">
        <f>IFERROR(__xludf.DUMMYFUNCTION("""COMPUTED_VALUE"""),69.0)</f>
        <v>69</v>
      </c>
      <c r="F40" s="83" t="str">
        <f>IFERROR(__xludf.DUMMYFUNCTION("""COMPUTED_VALUE"""),"wimpie.jordaan@yahoo.com")</f>
        <v>wimpie.jordaan@yahoo.com</v>
      </c>
      <c r="G40" s="84">
        <f>IFERROR(__xludf.DUMMYFUNCTION("""COMPUTED_VALUE"""),8.236613E8)</f>
        <v>823661300</v>
      </c>
      <c r="H40" s="82">
        <f>IFERROR(__xludf.DUMMYFUNCTION("""COMPUTED_VALUE"""),2.700048012E9)</f>
        <v>2700048012</v>
      </c>
      <c r="I40" s="83" t="str">
        <f>IFERROR(__xludf.DUMMYFUNCTION("""COMPUTED_VALUE"""),"Margate CC")</f>
        <v>Margate CC</v>
      </c>
      <c r="J40" s="81">
        <f>IFERROR(__xludf.DUMMYFUNCTION("""COMPUTED_VALUE"""),45877.0)</f>
        <v>45877</v>
      </c>
      <c r="K40" s="85">
        <f>IFERROR(__xludf.DUMMYFUNCTION("""COMPUTED_VALUE"""),1.0)</f>
        <v>1</v>
      </c>
      <c r="L40" s="86" t="b">
        <f>IFERROR(__xludf.DUMMYFUNCTION("""COMPUTED_VALUE"""),FALSE)</f>
        <v>0</v>
      </c>
      <c r="M40" s="86" t="b">
        <f>IFERROR(__xludf.DUMMYFUNCTION("""COMPUTED_VALUE"""),FALSE)</f>
        <v>0</v>
      </c>
      <c r="N40" s="86" t="b">
        <f>IFERROR(__xludf.DUMMYFUNCTION("""COMPUTED_VALUE"""),FALSE)</f>
        <v>0</v>
      </c>
      <c r="O40" s="86" t="b">
        <f>IFERROR(__xludf.DUMMYFUNCTION("""COMPUTED_VALUE"""),FALSE)</f>
        <v>0</v>
      </c>
      <c r="P40" s="86" t="b">
        <f>IFERROR(__xludf.DUMMYFUNCTION("""COMPUTED_VALUE"""),FALSE)</f>
        <v>0</v>
      </c>
      <c r="Q40" s="86" t="b">
        <f>IFERROR(__xludf.DUMMYFUNCTION("""COMPUTED_VALUE"""),FALSE)</f>
        <v>0</v>
      </c>
      <c r="R40" s="87" t="b">
        <f>IFERROR(__xludf.DUMMYFUNCTION("""COMPUTED_VALUE"""),FALSE)</f>
        <v>0</v>
      </c>
      <c r="S40" s="87"/>
      <c r="T40" s="87"/>
      <c r="U40" s="87"/>
      <c r="V40" s="87"/>
    </row>
    <row r="41">
      <c r="A41" s="79" t="str">
        <f>IFERROR(__xludf.DUMMYFUNCTION("""COMPUTED_VALUE"""),"Joubert")</f>
        <v>Joubert</v>
      </c>
      <c r="B41" s="79" t="str">
        <f>IFERROR(__xludf.DUMMYFUNCTION("""COMPUTED_VALUE"""),"Joep")</f>
        <v>Joep</v>
      </c>
      <c r="C41" s="80" t="str">
        <f>IFERROR(__xludf.DUMMYFUNCTION("""COMPUTED_VALUE"""),"LSC")</f>
        <v>LSC</v>
      </c>
      <c r="D41" s="81">
        <f>IFERROR(__xludf.DUMMYFUNCTION("""COMPUTED_VALUE"""),20304.0)</f>
        <v>20304</v>
      </c>
      <c r="E41" s="82">
        <f>IFERROR(__xludf.DUMMYFUNCTION("""COMPUTED_VALUE"""),70.0)</f>
        <v>70</v>
      </c>
      <c r="F41" s="83" t="str">
        <f>IFERROR(__xludf.DUMMYFUNCTION("""COMPUTED_VALUE"""),"bjhjoubert@gmail.com")</f>
        <v>bjhjoubert@gmail.com</v>
      </c>
      <c r="G41" s="84">
        <f>IFERROR(__xludf.DUMMYFUNCTION("""COMPUTED_VALUE"""),8.29203184E8)</f>
        <v>829203184</v>
      </c>
      <c r="H41" s="82">
        <f>IFERROR(__xludf.DUMMYFUNCTION("""COMPUTED_VALUE"""),2.70043126E9)</f>
        <v>2700431260</v>
      </c>
      <c r="I41" s="83" t="str">
        <f>IFERROR(__xludf.DUMMYFUNCTION("""COMPUTED_VALUE"""),"Margate CC")</f>
        <v>Margate CC</v>
      </c>
      <c r="J41" s="81">
        <f>IFERROR(__xludf.DUMMYFUNCTION("""COMPUTED_VALUE"""),45960.0)</f>
        <v>45960</v>
      </c>
      <c r="K41" s="85">
        <f>IFERROR(__xludf.DUMMYFUNCTION("""COMPUTED_VALUE"""),1.0)</f>
        <v>1</v>
      </c>
      <c r="L41" s="86" t="b">
        <f>IFERROR(__xludf.DUMMYFUNCTION("""COMPUTED_VALUE"""),FALSE)</f>
        <v>0</v>
      </c>
      <c r="M41" s="86" t="b">
        <f>IFERROR(__xludf.DUMMYFUNCTION("""COMPUTED_VALUE"""),FALSE)</f>
        <v>0</v>
      </c>
      <c r="N41" s="86" t="b">
        <f>IFERROR(__xludf.DUMMYFUNCTION("""COMPUTED_VALUE"""),FALSE)</f>
        <v>0</v>
      </c>
      <c r="O41" s="86" t="b">
        <f>IFERROR(__xludf.DUMMYFUNCTION("""COMPUTED_VALUE"""),FALSE)</f>
        <v>0</v>
      </c>
      <c r="P41" s="86" t="b">
        <f>IFERROR(__xludf.DUMMYFUNCTION("""COMPUTED_VALUE"""),FALSE)</f>
        <v>0</v>
      </c>
      <c r="Q41" s="86" t="b">
        <f>IFERROR(__xludf.DUMMYFUNCTION("""COMPUTED_VALUE"""),FALSE)</f>
        <v>0</v>
      </c>
      <c r="R41" s="87" t="b">
        <f>IFERROR(__xludf.DUMMYFUNCTION("""COMPUTED_VALUE"""),FALSE)</f>
        <v>0</v>
      </c>
      <c r="S41" s="87"/>
      <c r="T41" s="87"/>
      <c r="U41" s="87"/>
      <c r="V41" s="87"/>
    </row>
    <row r="42">
      <c r="A42" s="79" t="str">
        <f>IFERROR(__xludf.DUMMYFUNCTION("""COMPUTED_VALUE"""),"Kankowski")</f>
        <v>Kankowski</v>
      </c>
      <c r="B42" s="79" t="str">
        <f>IFERROR(__xludf.DUMMYFUNCTION("""COMPUTED_VALUE"""),"Big B")</f>
        <v>Big B</v>
      </c>
      <c r="C42" s="80" t="str">
        <f>IFERROR(__xludf.DUMMYFUNCTION("""COMPUTED_VALUE"""),"LSC")</f>
        <v>LSC</v>
      </c>
      <c r="D42" s="81">
        <f>IFERROR(__xludf.DUMMYFUNCTION("""COMPUTED_VALUE"""),22729.0)</f>
        <v>22729</v>
      </c>
      <c r="E42" s="82">
        <f>IFERROR(__xludf.DUMMYFUNCTION("""COMPUTED_VALUE"""),64.0)</f>
        <v>64</v>
      </c>
      <c r="F42" s="83" t="str">
        <f>IFERROR(__xludf.DUMMYFUNCTION("""COMPUTED_VALUE"""),"kankowskibernd@gmail.com")</f>
        <v>kankowskibernd@gmail.com</v>
      </c>
      <c r="G42" s="84">
        <f>IFERROR(__xludf.DUMMYFUNCTION("""COMPUTED_VALUE"""),8.24559212E8)</f>
        <v>824559212</v>
      </c>
      <c r="H42" s="82"/>
      <c r="I42" s="83" t="str">
        <f>IFERROR(__xludf.DUMMYFUNCTION("""COMPUTED_VALUE"""),"Drakensberg Gardens (appl.)")</f>
        <v>Drakensberg Gardens (appl.)</v>
      </c>
      <c r="J42" s="81">
        <f>IFERROR(__xludf.DUMMYFUNCTION("""COMPUTED_VALUE"""),45964.0)</f>
        <v>45964</v>
      </c>
      <c r="K42" s="85">
        <f>IFERROR(__xludf.DUMMYFUNCTION("""COMPUTED_VALUE"""),1.0)</f>
        <v>1</v>
      </c>
      <c r="L42" s="86" t="b">
        <f>IFERROR(__xludf.DUMMYFUNCTION("""COMPUTED_VALUE"""),FALSE)</f>
        <v>0</v>
      </c>
      <c r="M42" s="86" t="b">
        <f>IFERROR(__xludf.DUMMYFUNCTION("""COMPUTED_VALUE"""),FALSE)</f>
        <v>0</v>
      </c>
      <c r="N42" s="86" t="b">
        <f>IFERROR(__xludf.DUMMYFUNCTION("""COMPUTED_VALUE"""),FALSE)</f>
        <v>0</v>
      </c>
      <c r="O42" s="86" t="b">
        <f>IFERROR(__xludf.DUMMYFUNCTION("""COMPUTED_VALUE"""),FALSE)</f>
        <v>0</v>
      </c>
      <c r="P42" s="86" t="b">
        <f>IFERROR(__xludf.DUMMYFUNCTION("""COMPUTED_VALUE"""),FALSE)</f>
        <v>0</v>
      </c>
      <c r="Q42" s="86" t="b">
        <f>IFERROR(__xludf.DUMMYFUNCTION("""COMPUTED_VALUE"""),FALSE)</f>
        <v>0</v>
      </c>
      <c r="R42" s="87" t="b">
        <f>IFERROR(__xludf.DUMMYFUNCTION("""COMPUTED_VALUE"""),FALSE)</f>
        <v>0</v>
      </c>
      <c r="S42" s="87"/>
      <c r="T42" s="87"/>
      <c r="U42" s="87"/>
      <c r="V42" s="87"/>
    </row>
    <row r="43">
      <c r="A43" s="79" t="str">
        <f>IFERROR(__xludf.DUMMYFUNCTION("""COMPUTED_VALUE"""),"King")</f>
        <v>King</v>
      </c>
      <c r="B43" s="79" t="str">
        <f>IFERROR(__xludf.DUMMYFUNCTION("""COMPUTED_VALUE"""),"Basil")</f>
        <v>Basil</v>
      </c>
      <c r="C43" s="80" t="str">
        <f>IFERROR(__xludf.DUMMYFUNCTION("""COMPUTED_VALUE"""),"LSC")</f>
        <v>LSC</v>
      </c>
      <c r="D43" s="81"/>
      <c r="E43" s="82"/>
      <c r="F43" s="83"/>
      <c r="G43" s="84">
        <f>IFERROR(__xludf.DUMMYFUNCTION("""COMPUTED_VALUE"""),8.28792715E8)</f>
        <v>828792715</v>
      </c>
      <c r="H43" s="82">
        <f>IFERROR(__xludf.DUMMYFUNCTION("""COMPUTED_VALUE"""),2.700120204E9)</f>
        <v>2700120204</v>
      </c>
      <c r="I43" s="83" t="str">
        <f>IFERROR(__xludf.DUMMYFUNCTION("""COMPUTED_VALUE"""),"Port Shepstone CC")</f>
        <v>Port Shepstone CC</v>
      </c>
      <c r="J43" s="81"/>
      <c r="K43" s="85">
        <f>IFERROR(__xludf.DUMMYFUNCTION("""COMPUTED_VALUE"""),127.0)</f>
        <v>127</v>
      </c>
      <c r="L43" s="86" t="b">
        <f>IFERROR(__xludf.DUMMYFUNCTION("""COMPUTED_VALUE"""),FALSE)</f>
        <v>0</v>
      </c>
      <c r="M43" s="86" t="b">
        <f>IFERROR(__xludf.DUMMYFUNCTION("""COMPUTED_VALUE"""),FALSE)</f>
        <v>0</v>
      </c>
      <c r="N43" s="86" t="b">
        <f>IFERROR(__xludf.DUMMYFUNCTION("""COMPUTED_VALUE"""),FALSE)</f>
        <v>0</v>
      </c>
      <c r="O43" s="86" t="b">
        <f>IFERROR(__xludf.DUMMYFUNCTION("""COMPUTED_VALUE"""),FALSE)</f>
        <v>0</v>
      </c>
      <c r="P43" s="86" t="b">
        <f>IFERROR(__xludf.DUMMYFUNCTION("""COMPUTED_VALUE"""),FALSE)</f>
        <v>0</v>
      </c>
      <c r="Q43" s="86" t="b">
        <f>IFERROR(__xludf.DUMMYFUNCTION("""COMPUTED_VALUE"""),FALSE)</f>
        <v>0</v>
      </c>
      <c r="R43" s="87" t="b">
        <f>IFERROR(__xludf.DUMMYFUNCTION("""COMPUTED_VALUE"""),FALSE)</f>
        <v>0</v>
      </c>
      <c r="S43" s="87"/>
      <c r="T43" s="87"/>
      <c r="U43" s="87"/>
      <c r="V43" s="87"/>
    </row>
    <row r="44">
      <c r="A44" s="79" t="str">
        <f>IFERROR(__xludf.DUMMYFUNCTION("""COMPUTED_VALUE"""),"King")</f>
        <v>King</v>
      </c>
      <c r="B44" s="79" t="str">
        <f>IFERROR(__xludf.DUMMYFUNCTION("""COMPUTED_VALUE"""),"Trevor")</f>
        <v>Trevor</v>
      </c>
      <c r="C44" s="80" t="str">
        <f>IFERROR(__xludf.DUMMYFUNCTION("""COMPUTED_VALUE"""),"LSC")</f>
        <v>LSC</v>
      </c>
      <c r="D44" s="81">
        <f>IFERROR(__xludf.DUMMYFUNCTION("""COMPUTED_VALUE"""),22325.0)</f>
        <v>22325</v>
      </c>
      <c r="E44" s="82">
        <f>IFERROR(__xludf.DUMMYFUNCTION("""COMPUTED_VALUE"""),65.0)</f>
        <v>65</v>
      </c>
      <c r="F44" s="83" t="str">
        <f>IFERROR(__xludf.DUMMYFUNCTION("""COMPUTED_VALUE"""),"tkingdbn@gmail.com")</f>
        <v>tkingdbn@gmail.com</v>
      </c>
      <c r="G44" s="84">
        <f>IFERROR(__xludf.DUMMYFUNCTION("""COMPUTED_VALUE"""),8.33896327E8)</f>
        <v>833896327</v>
      </c>
      <c r="H44" s="82">
        <f>IFERROR(__xludf.DUMMYFUNCTION("""COMPUTED_VALUE"""),2.700098817E9)</f>
        <v>2700098817</v>
      </c>
      <c r="I44" s="83" t="str">
        <f>IFERROR(__xludf.DUMMYFUNCTION("""COMPUTED_VALUE"""),"Cathedral Peak GC")</f>
        <v>Cathedral Peak GC</v>
      </c>
      <c r="J44" s="81">
        <f>IFERROR(__xludf.DUMMYFUNCTION("""COMPUTED_VALUE"""),45968.0)</f>
        <v>45968</v>
      </c>
      <c r="K44" s="85">
        <f>IFERROR(__xludf.DUMMYFUNCTION("""COMPUTED_VALUE"""),1.0)</f>
        <v>1</v>
      </c>
      <c r="L44" s="86" t="b">
        <f>IFERROR(__xludf.DUMMYFUNCTION("""COMPUTED_VALUE"""),FALSE)</f>
        <v>0</v>
      </c>
      <c r="M44" s="86" t="b">
        <f>IFERROR(__xludf.DUMMYFUNCTION("""COMPUTED_VALUE"""),FALSE)</f>
        <v>0</v>
      </c>
      <c r="N44" s="86" t="b">
        <f>IFERROR(__xludf.DUMMYFUNCTION("""COMPUTED_VALUE"""),FALSE)</f>
        <v>0</v>
      </c>
      <c r="O44" s="86" t="b">
        <f>IFERROR(__xludf.DUMMYFUNCTION("""COMPUTED_VALUE"""),FALSE)</f>
        <v>0</v>
      </c>
      <c r="P44" s="86" t="b">
        <f>IFERROR(__xludf.DUMMYFUNCTION("""COMPUTED_VALUE"""),FALSE)</f>
        <v>0</v>
      </c>
      <c r="Q44" s="86" t="b">
        <f>IFERROR(__xludf.DUMMYFUNCTION("""COMPUTED_VALUE"""),FALSE)</f>
        <v>0</v>
      </c>
      <c r="R44" s="87" t="b">
        <f>IFERROR(__xludf.DUMMYFUNCTION("""COMPUTED_VALUE"""),FALSE)</f>
        <v>0</v>
      </c>
      <c r="S44" s="87"/>
      <c r="T44" s="87"/>
      <c r="U44" s="87"/>
      <c r="V44" s="87"/>
    </row>
    <row r="45">
      <c r="A45" s="79" t="str">
        <f>IFERROR(__xludf.DUMMYFUNCTION("""COMPUTED_VALUE"""),"Kriegler")</f>
        <v>Kriegler</v>
      </c>
      <c r="B45" s="79" t="str">
        <f>IFERROR(__xludf.DUMMYFUNCTION("""COMPUTED_VALUE"""),"Alta")</f>
        <v>Alta</v>
      </c>
      <c r="C45" s="80" t="str">
        <f>IFERROR(__xludf.DUMMYFUNCTION("""COMPUTED_VALUE"""),"LSC")</f>
        <v>LSC</v>
      </c>
      <c r="D45" s="81">
        <f>IFERROR(__xludf.DUMMYFUNCTION("""COMPUTED_VALUE"""),22177.0)</f>
        <v>22177</v>
      </c>
      <c r="E45" s="82">
        <f>IFERROR(__xludf.DUMMYFUNCTION("""COMPUTED_VALUE"""),65.0)</f>
        <v>65</v>
      </c>
      <c r="F45" s="83" t="str">
        <f>IFERROR(__xludf.DUMMYFUNCTION("""COMPUTED_VALUE"""),"altakriegler@gmail.com")</f>
        <v>altakriegler@gmail.com</v>
      </c>
      <c r="G45" s="84">
        <f>IFERROR(__xludf.DUMMYFUNCTION("""COMPUTED_VALUE"""),8.28797293E8)</f>
        <v>828797293</v>
      </c>
      <c r="H45" s="82">
        <f>IFERROR(__xludf.DUMMYFUNCTION("""COMPUTED_VALUE"""),2.70041925E9)</f>
        <v>2700419250</v>
      </c>
      <c r="I45" s="83" t="str">
        <f>IFERROR(__xludf.DUMMYFUNCTION("""COMPUTED_VALUE"""),"Southbroom GC")</f>
        <v>Southbroom GC</v>
      </c>
      <c r="J45" s="81">
        <f>IFERROR(__xludf.DUMMYFUNCTION("""COMPUTED_VALUE"""),45961.0)</f>
        <v>45961</v>
      </c>
      <c r="K45" s="85">
        <f>IFERROR(__xludf.DUMMYFUNCTION("""COMPUTED_VALUE"""),1.0)</f>
        <v>1</v>
      </c>
      <c r="L45" s="86" t="b">
        <f>IFERROR(__xludf.DUMMYFUNCTION("""COMPUTED_VALUE"""),FALSE)</f>
        <v>0</v>
      </c>
      <c r="M45" s="86" t="b">
        <f>IFERROR(__xludf.DUMMYFUNCTION("""COMPUTED_VALUE"""),FALSE)</f>
        <v>0</v>
      </c>
      <c r="N45" s="86" t="b">
        <f>IFERROR(__xludf.DUMMYFUNCTION("""COMPUTED_VALUE"""),FALSE)</f>
        <v>0</v>
      </c>
      <c r="O45" s="86" t="b">
        <f>IFERROR(__xludf.DUMMYFUNCTION("""COMPUTED_VALUE"""),FALSE)</f>
        <v>0</v>
      </c>
      <c r="P45" s="86" t="b">
        <f>IFERROR(__xludf.DUMMYFUNCTION("""COMPUTED_VALUE"""),TRUE)</f>
        <v>1</v>
      </c>
      <c r="Q45" s="86" t="b">
        <f>IFERROR(__xludf.DUMMYFUNCTION("""COMPUTED_VALUE"""),FALSE)</f>
        <v>0</v>
      </c>
      <c r="R45" s="87" t="b">
        <f>IFERROR(__xludf.DUMMYFUNCTION("""COMPUTED_VALUE"""),FALSE)</f>
        <v>0</v>
      </c>
      <c r="S45" s="87"/>
      <c r="T45" s="87"/>
      <c r="U45" s="87"/>
      <c r="V45" s="87"/>
    </row>
    <row r="46">
      <c r="A46" s="79" t="str">
        <f>IFERROR(__xludf.DUMMYFUNCTION("""COMPUTED_VALUE"""),"Lind")</f>
        <v>Lind</v>
      </c>
      <c r="B46" s="79" t="str">
        <f>IFERROR(__xludf.DUMMYFUNCTION("""COMPUTED_VALUE"""),"Bryan")</f>
        <v>Bryan</v>
      </c>
      <c r="C46" s="80" t="str">
        <f>IFERROR(__xludf.DUMMYFUNCTION("""COMPUTED_VALUE"""),"LSC")</f>
        <v>LSC</v>
      </c>
      <c r="D46" s="81">
        <f>IFERROR(__xludf.DUMMYFUNCTION("""COMPUTED_VALUE"""),21136.0)</f>
        <v>21136</v>
      </c>
      <c r="E46" s="82">
        <f>IFERROR(__xludf.DUMMYFUNCTION("""COMPUTED_VALUE"""),68.0)</f>
        <v>68</v>
      </c>
      <c r="F46" s="83" t="str">
        <f>IFERROR(__xludf.DUMMYFUNCTION("""COMPUTED_VALUE"""),"janelind@mweb.co.za")</f>
        <v>janelind@mweb.co.za</v>
      </c>
      <c r="G46" s="84">
        <f>IFERROR(__xludf.DUMMYFUNCTION("""COMPUTED_VALUE"""),8.29044601E8)</f>
        <v>829044601</v>
      </c>
      <c r="H46" s="82">
        <f>IFERROR(__xludf.DUMMYFUNCTION("""COMPUTED_VALUE"""),2.700071057E9)</f>
        <v>2700071057</v>
      </c>
      <c r="I46" s="83" t="str">
        <f>IFERROR(__xludf.DUMMYFUNCTION("""COMPUTED_VALUE"""),"Drakensberg Gardens")</f>
        <v>Drakensberg Gardens</v>
      </c>
      <c r="J46" s="81">
        <f>IFERROR(__xludf.DUMMYFUNCTION("""COMPUTED_VALUE"""),45943.0)</f>
        <v>45943</v>
      </c>
      <c r="K46" s="85">
        <f>IFERROR(__xludf.DUMMYFUNCTION("""COMPUTED_VALUE"""),1.0)</f>
        <v>1</v>
      </c>
      <c r="L46" s="86" t="b">
        <f>IFERROR(__xludf.DUMMYFUNCTION("""COMPUTED_VALUE"""),FALSE)</f>
        <v>0</v>
      </c>
      <c r="M46" s="86" t="b">
        <f>IFERROR(__xludf.DUMMYFUNCTION("""COMPUTED_VALUE"""),FALSE)</f>
        <v>0</v>
      </c>
      <c r="N46" s="86" t="b">
        <f>IFERROR(__xludf.DUMMYFUNCTION("""COMPUTED_VALUE"""),FALSE)</f>
        <v>0</v>
      </c>
      <c r="O46" s="86" t="b">
        <f>IFERROR(__xludf.DUMMYFUNCTION("""COMPUTED_VALUE"""),FALSE)</f>
        <v>0</v>
      </c>
      <c r="P46" s="86" t="b">
        <f>IFERROR(__xludf.DUMMYFUNCTION("""COMPUTED_VALUE"""),FALSE)</f>
        <v>0</v>
      </c>
      <c r="Q46" s="86" t="b">
        <f>IFERROR(__xludf.DUMMYFUNCTION("""COMPUTED_VALUE"""),FALSE)</f>
        <v>0</v>
      </c>
      <c r="R46" s="87" t="b">
        <f>IFERROR(__xludf.DUMMYFUNCTION("""COMPUTED_VALUE"""),FALSE)</f>
        <v>0</v>
      </c>
      <c r="S46" s="87"/>
      <c r="T46" s="87"/>
      <c r="U46" s="87"/>
      <c r="V46" s="87"/>
    </row>
    <row r="47">
      <c r="A47" s="79" t="str">
        <f>IFERROR(__xludf.DUMMYFUNCTION("""COMPUTED_VALUE"""),"Lind")</f>
        <v>Lind</v>
      </c>
      <c r="B47" s="79" t="str">
        <f>IFERROR(__xludf.DUMMYFUNCTION("""COMPUTED_VALUE"""),"Jane")</f>
        <v>Jane</v>
      </c>
      <c r="C47" s="80" t="str">
        <f>IFERROR(__xludf.DUMMYFUNCTION("""COMPUTED_VALUE"""),"LSC")</f>
        <v>LSC</v>
      </c>
      <c r="D47" s="81">
        <f>IFERROR(__xludf.DUMMYFUNCTION("""COMPUTED_VALUE"""),21936.0)</f>
        <v>21936</v>
      </c>
      <c r="E47" s="82">
        <f>IFERROR(__xludf.DUMMYFUNCTION("""COMPUTED_VALUE"""),66.0)</f>
        <v>66</v>
      </c>
      <c r="F47" s="83" t="str">
        <f>IFERROR(__xludf.DUMMYFUNCTION("""COMPUTED_VALUE"""),"janelind@mweb.co.za")</f>
        <v>janelind@mweb.co.za</v>
      </c>
      <c r="G47" s="84">
        <f>IFERROR(__xludf.DUMMYFUNCTION("""COMPUTED_VALUE"""),8.33578209E8)</f>
        <v>833578209</v>
      </c>
      <c r="H47" s="82">
        <f>IFERROR(__xludf.DUMMYFUNCTION("""COMPUTED_VALUE"""),2.700071138E9)</f>
        <v>2700071138</v>
      </c>
      <c r="I47" s="83" t="str">
        <f>IFERROR(__xludf.DUMMYFUNCTION("""COMPUTED_VALUE"""),"Port Shepstone CC")</f>
        <v>Port Shepstone CC</v>
      </c>
      <c r="J47" s="81">
        <f>IFERROR(__xludf.DUMMYFUNCTION("""COMPUTED_VALUE"""),45943.0)</f>
        <v>45943</v>
      </c>
      <c r="K47" s="85">
        <f>IFERROR(__xludf.DUMMYFUNCTION("""COMPUTED_VALUE"""),1.0)</f>
        <v>1</v>
      </c>
      <c r="L47" s="86" t="b">
        <f>IFERROR(__xludf.DUMMYFUNCTION("""COMPUTED_VALUE"""),FALSE)</f>
        <v>0</v>
      </c>
      <c r="M47" s="86" t="b">
        <f>IFERROR(__xludf.DUMMYFUNCTION("""COMPUTED_VALUE"""),FALSE)</f>
        <v>0</v>
      </c>
      <c r="N47" s="86" t="b">
        <f>IFERROR(__xludf.DUMMYFUNCTION("""COMPUTED_VALUE"""),FALSE)</f>
        <v>0</v>
      </c>
      <c r="O47" s="86" t="b">
        <f>IFERROR(__xludf.DUMMYFUNCTION("""COMPUTED_VALUE"""),FALSE)</f>
        <v>0</v>
      </c>
      <c r="P47" s="86" t="b">
        <f>IFERROR(__xludf.DUMMYFUNCTION("""COMPUTED_VALUE"""),TRUE)</f>
        <v>1</v>
      </c>
      <c r="Q47" s="86" t="b">
        <f>IFERROR(__xludf.DUMMYFUNCTION("""COMPUTED_VALUE"""),FALSE)</f>
        <v>0</v>
      </c>
      <c r="R47" s="87" t="b">
        <f>IFERROR(__xludf.DUMMYFUNCTION("""COMPUTED_VALUE"""),FALSE)</f>
        <v>0</v>
      </c>
      <c r="S47" s="87"/>
      <c r="T47" s="87"/>
      <c r="U47" s="87"/>
      <c r="V47" s="87"/>
    </row>
    <row r="48">
      <c r="A48" s="79" t="str">
        <f>IFERROR(__xludf.DUMMYFUNCTION("""COMPUTED_VALUE"""),"Louw")</f>
        <v>Louw</v>
      </c>
      <c r="B48" s="79" t="str">
        <f>IFERROR(__xludf.DUMMYFUNCTION("""COMPUTED_VALUE"""),"Chippy")</f>
        <v>Chippy</v>
      </c>
      <c r="C48" s="80" t="str">
        <f>IFERROR(__xludf.DUMMYFUNCTION("""COMPUTED_VALUE"""),"LSC")</f>
        <v>LSC</v>
      </c>
      <c r="D48" s="81"/>
      <c r="E48" s="82"/>
      <c r="F48" s="83"/>
      <c r="G48" s="84">
        <f>IFERROR(__xludf.DUMMYFUNCTION("""COMPUTED_VALUE"""),8.28255321E8)</f>
        <v>828255321</v>
      </c>
      <c r="H48" s="82">
        <f>IFERROR(__xludf.DUMMYFUNCTION("""COMPUTED_VALUE"""),2.700223248E9)</f>
        <v>2700223248</v>
      </c>
      <c r="I48" s="83" t="str">
        <f>IFERROR(__xludf.DUMMYFUNCTION("""COMPUTED_VALUE"""),"Margate CC")</f>
        <v>Margate CC</v>
      </c>
      <c r="J48" s="81"/>
      <c r="K48" s="85">
        <f>IFERROR(__xludf.DUMMYFUNCTION("""COMPUTED_VALUE"""),127.0)</f>
        <v>127</v>
      </c>
      <c r="L48" s="86" t="b">
        <f>IFERROR(__xludf.DUMMYFUNCTION("""COMPUTED_VALUE"""),FALSE)</f>
        <v>0</v>
      </c>
      <c r="M48" s="86" t="b">
        <f>IFERROR(__xludf.DUMMYFUNCTION("""COMPUTED_VALUE"""),FALSE)</f>
        <v>0</v>
      </c>
      <c r="N48" s="86" t="b">
        <f>IFERROR(__xludf.DUMMYFUNCTION("""COMPUTED_VALUE"""),FALSE)</f>
        <v>0</v>
      </c>
      <c r="O48" s="86" t="b">
        <f>IFERROR(__xludf.DUMMYFUNCTION("""COMPUTED_VALUE"""),FALSE)</f>
        <v>0</v>
      </c>
      <c r="P48" s="86" t="b">
        <f>IFERROR(__xludf.DUMMYFUNCTION("""COMPUTED_VALUE"""),FALSE)</f>
        <v>0</v>
      </c>
      <c r="Q48" s="86" t="b">
        <f>IFERROR(__xludf.DUMMYFUNCTION("""COMPUTED_VALUE"""),FALSE)</f>
        <v>0</v>
      </c>
      <c r="R48" s="87" t="b">
        <f>IFERROR(__xludf.DUMMYFUNCTION("""COMPUTED_VALUE"""),FALSE)</f>
        <v>0</v>
      </c>
      <c r="S48" s="87"/>
      <c r="T48" s="87"/>
      <c r="U48" s="87"/>
      <c r="V48" s="87"/>
    </row>
    <row r="49">
      <c r="A49" s="79" t="str">
        <f>IFERROR(__xludf.DUMMYFUNCTION("""COMPUTED_VALUE"""),"Lowe")</f>
        <v>Lowe</v>
      </c>
      <c r="B49" s="79" t="str">
        <f>IFERROR(__xludf.DUMMYFUNCTION("""COMPUTED_VALUE"""),"Rodney")</f>
        <v>Rodney</v>
      </c>
      <c r="C49" s="80" t="str">
        <f>IFERROR(__xludf.DUMMYFUNCTION("""COMPUTED_VALUE"""),"LSC")</f>
        <v>LSC</v>
      </c>
      <c r="D49" s="81">
        <f>IFERROR(__xludf.DUMMYFUNCTION("""COMPUTED_VALUE"""),19076.0)</f>
        <v>19076</v>
      </c>
      <c r="E49" s="82">
        <f>IFERROR(__xludf.DUMMYFUNCTION("""COMPUTED_VALUE"""),74.0)</f>
        <v>74</v>
      </c>
      <c r="F49" s="83" t="str">
        <f>IFERROR(__xludf.DUMMYFUNCTION("""COMPUTED_VALUE"""),"rodneylowe52@gmail.com")</f>
        <v>rodneylowe52@gmail.com</v>
      </c>
      <c r="G49" s="84">
        <f>IFERROR(__xludf.DUMMYFUNCTION("""COMPUTED_VALUE"""),8.32892365E8)</f>
        <v>832892365</v>
      </c>
      <c r="H49" s="82">
        <f>IFERROR(__xludf.DUMMYFUNCTION("""COMPUTED_VALUE"""),2.700077886E9)</f>
        <v>2700077886</v>
      </c>
      <c r="I49" s="83" t="str">
        <f>IFERROR(__xludf.DUMMYFUNCTION("""COMPUTED_VALUE"""),"Port Edward CC")</f>
        <v>Port Edward CC</v>
      </c>
      <c r="J49" s="81">
        <f>IFERROR(__xludf.DUMMYFUNCTION("""COMPUTED_VALUE"""),46051.0)</f>
        <v>46051</v>
      </c>
      <c r="K49" s="85">
        <f>IFERROR(__xludf.DUMMYFUNCTION("""COMPUTED_VALUE"""),0.0)</f>
        <v>0</v>
      </c>
      <c r="L49" s="86" t="b">
        <f>IFERROR(__xludf.DUMMYFUNCTION("""COMPUTED_VALUE"""),FALSE)</f>
        <v>0</v>
      </c>
      <c r="M49" s="86" t="b">
        <f>IFERROR(__xludf.DUMMYFUNCTION("""COMPUTED_VALUE"""),FALSE)</f>
        <v>0</v>
      </c>
      <c r="N49" s="86" t="b">
        <f>IFERROR(__xludf.DUMMYFUNCTION("""COMPUTED_VALUE"""),FALSE)</f>
        <v>0</v>
      </c>
      <c r="O49" s="86" t="b">
        <f>IFERROR(__xludf.DUMMYFUNCTION("""COMPUTED_VALUE"""),FALSE)</f>
        <v>0</v>
      </c>
      <c r="P49" s="86" t="b">
        <f>IFERROR(__xludf.DUMMYFUNCTION("""COMPUTED_VALUE"""),FALSE)</f>
        <v>0</v>
      </c>
      <c r="Q49" s="86" t="b">
        <f>IFERROR(__xludf.DUMMYFUNCTION("""COMPUTED_VALUE"""),FALSE)</f>
        <v>0</v>
      </c>
      <c r="R49" s="87" t="b">
        <f>IFERROR(__xludf.DUMMYFUNCTION("""COMPUTED_VALUE"""),FALSE)</f>
        <v>0</v>
      </c>
      <c r="S49" s="87"/>
      <c r="T49" s="87"/>
      <c r="U49" s="87"/>
      <c r="V49" s="87"/>
    </row>
    <row r="50">
      <c r="A50" s="79" t="str">
        <f>IFERROR(__xludf.DUMMYFUNCTION("""COMPUTED_VALUE"""),"Mannix")</f>
        <v>Mannix</v>
      </c>
      <c r="B50" s="79" t="str">
        <f>IFERROR(__xludf.DUMMYFUNCTION("""COMPUTED_VALUE"""),"Frankie")</f>
        <v>Frankie</v>
      </c>
      <c r="C50" s="80" t="str">
        <f>IFERROR(__xludf.DUMMYFUNCTION("""COMPUTED_VALUE"""),"LSC")</f>
        <v>LSC</v>
      </c>
      <c r="D50" s="81">
        <f>IFERROR(__xludf.DUMMYFUNCTION("""COMPUTED_VALUE"""),20643.0)</f>
        <v>20643</v>
      </c>
      <c r="E50" s="82">
        <f>IFERROR(__xludf.DUMMYFUNCTION("""COMPUTED_VALUE"""),70.0)</f>
        <v>70</v>
      </c>
      <c r="F50" s="83" t="str">
        <f>IFERROR(__xludf.DUMMYFUNCTION("""COMPUTED_VALUE"""),"admin@mannixelectrical.co.za")</f>
        <v>admin@mannixelectrical.co.za</v>
      </c>
      <c r="G50" s="84">
        <f>IFERROR(__xludf.DUMMYFUNCTION("""COMPUTED_VALUE"""),8.32527394E8)</f>
        <v>832527394</v>
      </c>
      <c r="H50" s="82">
        <f>IFERROR(__xludf.DUMMYFUNCTION("""COMPUTED_VALUE"""),2.700118994E9)</f>
        <v>2700118994</v>
      </c>
      <c r="I50" s="83" t="str">
        <f>IFERROR(__xludf.DUMMYFUNCTION("""COMPUTED_VALUE"""),"Port Edward CC")</f>
        <v>Port Edward CC</v>
      </c>
      <c r="J50" s="81">
        <f>IFERROR(__xludf.DUMMYFUNCTION("""COMPUTED_VALUE"""),46051.0)</f>
        <v>46051</v>
      </c>
      <c r="K50" s="85">
        <f>IFERROR(__xludf.DUMMYFUNCTION("""COMPUTED_VALUE"""),0.0)</f>
        <v>0</v>
      </c>
      <c r="L50" s="86" t="b">
        <f>IFERROR(__xludf.DUMMYFUNCTION("""COMPUTED_VALUE"""),FALSE)</f>
        <v>0</v>
      </c>
      <c r="M50" s="86" t="b">
        <f>IFERROR(__xludf.DUMMYFUNCTION("""COMPUTED_VALUE"""),FALSE)</f>
        <v>0</v>
      </c>
      <c r="N50" s="86" t="b">
        <f>IFERROR(__xludf.DUMMYFUNCTION("""COMPUTED_VALUE"""),FALSE)</f>
        <v>0</v>
      </c>
      <c r="O50" s="86" t="b">
        <f>IFERROR(__xludf.DUMMYFUNCTION("""COMPUTED_VALUE"""),FALSE)</f>
        <v>0</v>
      </c>
      <c r="P50" s="86" t="b">
        <f>IFERROR(__xludf.DUMMYFUNCTION("""COMPUTED_VALUE"""),FALSE)</f>
        <v>0</v>
      </c>
      <c r="Q50" s="86" t="b">
        <f>IFERROR(__xludf.DUMMYFUNCTION("""COMPUTED_VALUE"""),FALSE)</f>
        <v>0</v>
      </c>
      <c r="R50" s="87" t="b">
        <f>IFERROR(__xludf.DUMMYFUNCTION("""COMPUTED_VALUE"""),FALSE)</f>
        <v>0</v>
      </c>
      <c r="S50" s="87"/>
      <c r="T50" s="87"/>
      <c r="U50" s="87"/>
      <c r="V50" s="87"/>
    </row>
    <row r="51">
      <c r="A51" s="79" t="str">
        <f>IFERROR(__xludf.DUMMYFUNCTION("""COMPUTED_VALUE"""),"Marshall")</f>
        <v>Marshall</v>
      </c>
      <c r="B51" s="79" t="str">
        <f>IFERROR(__xludf.DUMMYFUNCTION("""COMPUTED_VALUE"""),"Gavin")</f>
        <v>Gavin</v>
      </c>
      <c r="C51" s="80" t="str">
        <f>IFERROR(__xludf.DUMMYFUNCTION("""COMPUTED_VALUE"""),"LSC")</f>
        <v>LSC</v>
      </c>
      <c r="D51" s="81">
        <f>IFERROR(__xludf.DUMMYFUNCTION("""COMPUTED_VALUE"""),23915.0)</f>
        <v>23915</v>
      </c>
      <c r="E51" s="82">
        <f>IFERROR(__xludf.DUMMYFUNCTION("""COMPUTED_VALUE"""),61.0)</f>
        <v>61</v>
      </c>
      <c r="F51" s="83" t="str">
        <f>IFERROR(__xludf.DUMMYFUNCTION("""COMPUTED_VALUE"""),"gavinmarshallmac@gmail.com")</f>
        <v>gavinmarshallmac@gmail.com</v>
      </c>
      <c r="G51" s="84">
        <f>IFERROR(__xludf.DUMMYFUNCTION("""COMPUTED_VALUE"""),8.25744159E8)</f>
        <v>825744159</v>
      </c>
      <c r="H51" s="82">
        <f>IFERROR(__xludf.DUMMYFUNCTION("""COMPUTED_VALUE"""),2.700026159E9)</f>
        <v>2700026159</v>
      </c>
      <c r="I51" s="83" t="str">
        <f>IFERROR(__xludf.DUMMYFUNCTION("""COMPUTED_VALUE"""),"Port Shepstone CC(ERPM)")</f>
        <v>Port Shepstone CC(ERPM)</v>
      </c>
      <c r="J51" s="81"/>
      <c r="K51" s="85">
        <f>IFERROR(__xludf.DUMMYFUNCTION("""COMPUTED_VALUE"""),127.0)</f>
        <v>127</v>
      </c>
      <c r="L51" s="86" t="b">
        <f>IFERROR(__xludf.DUMMYFUNCTION("""COMPUTED_VALUE"""),FALSE)</f>
        <v>0</v>
      </c>
      <c r="M51" s="86" t="b">
        <f>IFERROR(__xludf.DUMMYFUNCTION("""COMPUTED_VALUE"""),FALSE)</f>
        <v>0</v>
      </c>
      <c r="N51" s="86" t="b">
        <f>IFERROR(__xludf.DUMMYFUNCTION("""COMPUTED_VALUE"""),FALSE)</f>
        <v>0</v>
      </c>
      <c r="O51" s="86" t="b">
        <f>IFERROR(__xludf.DUMMYFUNCTION("""COMPUTED_VALUE"""),FALSE)</f>
        <v>0</v>
      </c>
      <c r="P51" s="86" t="b">
        <f>IFERROR(__xludf.DUMMYFUNCTION("""COMPUTED_VALUE"""),FALSE)</f>
        <v>0</v>
      </c>
      <c r="Q51" s="86" t="b">
        <f>IFERROR(__xludf.DUMMYFUNCTION("""COMPUTED_VALUE"""),FALSE)</f>
        <v>0</v>
      </c>
      <c r="R51" s="87" t="b">
        <f>IFERROR(__xludf.DUMMYFUNCTION("""COMPUTED_VALUE"""),FALSE)</f>
        <v>0</v>
      </c>
      <c r="S51" s="87"/>
      <c r="T51" s="87"/>
      <c r="U51" s="87"/>
      <c r="V51" s="87"/>
    </row>
    <row r="52">
      <c r="A52" s="79" t="str">
        <f>IFERROR(__xludf.DUMMYFUNCTION("""COMPUTED_VALUE"""),"Marx")</f>
        <v>Marx</v>
      </c>
      <c r="B52" s="79" t="str">
        <f>IFERROR(__xludf.DUMMYFUNCTION("""COMPUTED_VALUE"""),"Debbie")</f>
        <v>Debbie</v>
      </c>
      <c r="C52" s="80" t="str">
        <f>IFERROR(__xludf.DUMMYFUNCTION("""COMPUTED_VALUE"""),"LSC")</f>
        <v>LSC</v>
      </c>
      <c r="D52" s="81">
        <f>IFERROR(__xludf.DUMMYFUNCTION("""COMPUTED_VALUE"""),23283.0)</f>
        <v>23283</v>
      </c>
      <c r="E52" s="82">
        <f>IFERROR(__xludf.DUMMYFUNCTION("""COMPUTED_VALUE"""),62.0)</f>
        <v>62</v>
      </c>
      <c r="F52" s="83" t="str">
        <f>IFERROR(__xludf.DUMMYFUNCTION("""COMPUTED_VALUE"""),"debbiemarx@telkomsa.net")</f>
        <v>debbiemarx@telkomsa.net</v>
      </c>
      <c r="G52" s="84">
        <f>IFERROR(__xludf.DUMMYFUNCTION("""COMPUTED_VALUE"""),8.29235882E8)</f>
        <v>829235882</v>
      </c>
      <c r="H52" s="82">
        <f>IFERROR(__xludf.DUMMYFUNCTION("""COMPUTED_VALUE"""),2.700400182E9)</f>
        <v>2700400182</v>
      </c>
      <c r="I52" s="83" t="str">
        <f>IFERROR(__xludf.DUMMYFUNCTION("""COMPUTED_VALUE"""),"Margate CC")</f>
        <v>Margate CC</v>
      </c>
      <c r="J52" s="81">
        <f>IFERROR(__xludf.DUMMYFUNCTION("""COMPUTED_VALUE"""),45962.0)</f>
        <v>45962</v>
      </c>
      <c r="K52" s="85">
        <f>IFERROR(__xludf.DUMMYFUNCTION("""COMPUTED_VALUE"""),1.0)</f>
        <v>1</v>
      </c>
      <c r="L52" s="86" t="b">
        <f>IFERROR(__xludf.DUMMYFUNCTION("""COMPUTED_VALUE"""),FALSE)</f>
        <v>0</v>
      </c>
      <c r="M52" s="86" t="b">
        <f>IFERROR(__xludf.DUMMYFUNCTION("""COMPUTED_VALUE"""),FALSE)</f>
        <v>0</v>
      </c>
      <c r="N52" s="86" t="b">
        <f>IFERROR(__xludf.DUMMYFUNCTION("""COMPUTED_VALUE"""),FALSE)</f>
        <v>0</v>
      </c>
      <c r="O52" s="86" t="b">
        <f>IFERROR(__xludf.DUMMYFUNCTION("""COMPUTED_VALUE"""),FALSE)</f>
        <v>0</v>
      </c>
      <c r="P52" s="86" t="b">
        <f>IFERROR(__xludf.DUMMYFUNCTION("""COMPUTED_VALUE"""),TRUE)</f>
        <v>1</v>
      </c>
      <c r="Q52" s="86" t="b">
        <f>IFERROR(__xludf.DUMMYFUNCTION("""COMPUTED_VALUE"""),FALSE)</f>
        <v>0</v>
      </c>
      <c r="R52" s="87" t="b">
        <f>IFERROR(__xludf.DUMMYFUNCTION("""COMPUTED_VALUE"""),FALSE)</f>
        <v>0</v>
      </c>
      <c r="S52" s="87"/>
      <c r="T52" s="87"/>
      <c r="U52" s="87"/>
      <c r="V52" s="87"/>
    </row>
    <row r="53">
      <c r="A53" s="79" t="str">
        <f>IFERROR(__xludf.DUMMYFUNCTION("""COMPUTED_VALUE"""),"Maynard")</f>
        <v>Maynard</v>
      </c>
      <c r="B53" s="79" t="str">
        <f>IFERROR(__xludf.DUMMYFUNCTION("""COMPUTED_VALUE"""),"Stephen")</f>
        <v>Stephen</v>
      </c>
      <c r="C53" s="80" t="str">
        <f>IFERROR(__xludf.DUMMYFUNCTION("""COMPUTED_VALUE"""),"LSC")</f>
        <v>LSC</v>
      </c>
      <c r="D53" s="81">
        <f>IFERROR(__xludf.DUMMYFUNCTION("""COMPUTED_VALUE"""),20524.0)</f>
        <v>20524</v>
      </c>
      <c r="E53" s="82">
        <f>IFERROR(__xludf.DUMMYFUNCTION("""COMPUTED_VALUE"""),70.0)</f>
        <v>70</v>
      </c>
      <c r="F53" s="83" t="str">
        <f>IFERROR(__xludf.DUMMYFUNCTION("""COMPUTED_VALUE"""),"mwmayhil@mweb.co.za")</f>
        <v>mwmayhil@mweb.co.za</v>
      </c>
      <c r="G53" s="84">
        <f>IFERROR(__xludf.DUMMYFUNCTION("""COMPUTED_VALUE"""),8.25706776E8)</f>
        <v>825706776</v>
      </c>
      <c r="H53" s="82">
        <f>IFERROR(__xludf.DUMMYFUNCTION("""COMPUTED_VALUE"""),2.700187111E9)</f>
        <v>2700187111</v>
      </c>
      <c r="I53" s="83" t="str">
        <f>IFERROR(__xludf.DUMMYFUNCTION("""COMPUTED_VALUE"""),"Port Edward CC")</f>
        <v>Port Edward CC</v>
      </c>
      <c r="J53" s="81">
        <f>IFERROR(__xludf.DUMMYFUNCTION("""COMPUTED_VALUE"""),46051.0)</f>
        <v>46051</v>
      </c>
      <c r="K53" s="85">
        <f>IFERROR(__xludf.DUMMYFUNCTION("""COMPUTED_VALUE"""),0.0)</f>
        <v>0</v>
      </c>
      <c r="L53" s="86" t="b">
        <f>IFERROR(__xludf.DUMMYFUNCTION("""COMPUTED_VALUE"""),FALSE)</f>
        <v>0</v>
      </c>
      <c r="M53" s="86" t="b">
        <f>IFERROR(__xludf.DUMMYFUNCTION("""COMPUTED_VALUE"""),FALSE)</f>
        <v>0</v>
      </c>
      <c r="N53" s="86" t="b">
        <f>IFERROR(__xludf.DUMMYFUNCTION("""COMPUTED_VALUE"""),FALSE)</f>
        <v>0</v>
      </c>
      <c r="O53" s="86" t="b">
        <f>IFERROR(__xludf.DUMMYFUNCTION("""COMPUTED_VALUE"""),FALSE)</f>
        <v>0</v>
      </c>
      <c r="P53" s="86" t="b">
        <f>IFERROR(__xludf.DUMMYFUNCTION("""COMPUTED_VALUE"""),FALSE)</f>
        <v>0</v>
      </c>
      <c r="Q53" s="86" t="b">
        <f>IFERROR(__xludf.DUMMYFUNCTION("""COMPUTED_VALUE"""),FALSE)</f>
        <v>0</v>
      </c>
      <c r="R53" s="87" t="b">
        <f>IFERROR(__xludf.DUMMYFUNCTION("""COMPUTED_VALUE"""),FALSE)</f>
        <v>0</v>
      </c>
      <c r="S53" s="87"/>
      <c r="T53" s="87"/>
      <c r="U53" s="87"/>
      <c r="V53" s="87"/>
    </row>
    <row r="54">
      <c r="A54" s="79" t="str">
        <f>IFERROR(__xludf.DUMMYFUNCTION("""COMPUTED_VALUE"""),"Meyer")</f>
        <v>Meyer</v>
      </c>
      <c r="B54" s="79" t="str">
        <f>IFERROR(__xludf.DUMMYFUNCTION("""COMPUTED_VALUE"""),"Cathy")</f>
        <v>Cathy</v>
      </c>
      <c r="C54" s="80" t="str">
        <f>IFERROR(__xludf.DUMMYFUNCTION("""COMPUTED_VALUE"""),"LSC")</f>
        <v>LSC</v>
      </c>
      <c r="D54" s="81">
        <f>IFERROR(__xludf.DUMMYFUNCTION("""COMPUTED_VALUE"""),21568.0)</f>
        <v>21568</v>
      </c>
      <c r="E54" s="82">
        <f>IFERROR(__xludf.DUMMYFUNCTION("""COMPUTED_VALUE"""),67.0)</f>
        <v>67</v>
      </c>
      <c r="F54" s="83" t="str">
        <f>IFERROR(__xludf.DUMMYFUNCTION("""COMPUTED_VALUE"""),"cathy.meyer@vodamail.co.za")</f>
        <v>cathy.meyer@vodamail.co.za</v>
      </c>
      <c r="G54" s="84">
        <f>IFERROR(__xludf.DUMMYFUNCTION("""COMPUTED_VALUE"""),8.23311732E8)</f>
        <v>823311732</v>
      </c>
      <c r="H54" s="82">
        <f>IFERROR(__xludf.DUMMYFUNCTION("""COMPUTED_VALUE"""),2.70027316E9)</f>
        <v>2700273160</v>
      </c>
      <c r="I54" s="83" t="str">
        <f>IFERROR(__xludf.DUMMYFUNCTION("""COMPUTED_VALUE"""),"Margate CC")</f>
        <v>Margate CC</v>
      </c>
      <c r="J54" s="81">
        <f>IFERROR(__xludf.DUMMYFUNCTION("""COMPUTED_VALUE"""),45938.0)</f>
        <v>45938</v>
      </c>
      <c r="K54" s="85">
        <f>IFERROR(__xludf.DUMMYFUNCTION("""COMPUTED_VALUE"""),1.0)</f>
        <v>1</v>
      </c>
      <c r="L54" s="86" t="b">
        <f>IFERROR(__xludf.DUMMYFUNCTION("""COMPUTED_VALUE"""),FALSE)</f>
        <v>0</v>
      </c>
      <c r="M54" s="86" t="b">
        <f>IFERROR(__xludf.DUMMYFUNCTION("""COMPUTED_VALUE"""),FALSE)</f>
        <v>0</v>
      </c>
      <c r="N54" s="86" t="b">
        <f>IFERROR(__xludf.DUMMYFUNCTION("""COMPUTED_VALUE"""),FALSE)</f>
        <v>0</v>
      </c>
      <c r="O54" s="86" t="b">
        <f>IFERROR(__xludf.DUMMYFUNCTION("""COMPUTED_VALUE"""),FALSE)</f>
        <v>0</v>
      </c>
      <c r="P54" s="86" t="b">
        <f>IFERROR(__xludf.DUMMYFUNCTION("""COMPUTED_VALUE"""),TRUE)</f>
        <v>1</v>
      </c>
      <c r="Q54" s="86" t="b">
        <f>IFERROR(__xludf.DUMMYFUNCTION("""COMPUTED_VALUE"""),FALSE)</f>
        <v>0</v>
      </c>
      <c r="R54" s="87" t="b">
        <f>IFERROR(__xludf.DUMMYFUNCTION("""COMPUTED_VALUE"""),FALSE)</f>
        <v>0</v>
      </c>
      <c r="S54" s="87"/>
      <c r="T54" s="87"/>
      <c r="U54" s="87"/>
      <c r="V54" s="87"/>
    </row>
    <row r="55">
      <c r="A55" s="79" t="str">
        <f>IFERROR(__xludf.DUMMYFUNCTION("""COMPUTED_VALUE"""),"Meyer")</f>
        <v>Meyer</v>
      </c>
      <c r="B55" s="79" t="str">
        <f>IFERROR(__xludf.DUMMYFUNCTION("""COMPUTED_VALUE"""),"Johann")</f>
        <v>Johann</v>
      </c>
      <c r="C55" s="80" t="str">
        <f>IFERROR(__xludf.DUMMYFUNCTION("""COMPUTED_VALUE"""),"LSC")</f>
        <v>LSC</v>
      </c>
      <c r="D55" s="81">
        <f>IFERROR(__xludf.DUMMYFUNCTION("""COMPUTED_VALUE"""),20793.0)</f>
        <v>20793</v>
      </c>
      <c r="E55" s="82">
        <f>IFERROR(__xludf.DUMMYFUNCTION("""COMPUTED_VALUE"""),69.0)</f>
        <v>69</v>
      </c>
      <c r="F55" s="83" t="str">
        <f>IFERROR(__xludf.DUMMYFUNCTION("""COMPUTED_VALUE"""),"johann.meyersa@gmail.com")</f>
        <v>johann.meyersa@gmail.com</v>
      </c>
      <c r="G55" s="84">
        <f>IFERROR(__xludf.DUMMYFUNCTION("""COMPUTED_VALUE"""),7.93880154E8)</f>
        <v>793880154</v>
      </c>
      <c r="H55" s="82">
        <f>IFERROR(__xludf.DUMMYFUNCTION("""COMPUTED_VALUE"""),2.700372159E9)</f>
        <v>2700372159</v>
      </c>
      <c r="I55" s="83" t="str">
        <f>IFERROR(__xludf.DUMMYFUNCTION("""COMPUTED_VALUE"""),"Margate CC")</f>
        <v>Margate CC</v>
      </c>
      <c r="J55" s="81">
        <f>IFERROR(__xludf.DUMMYFUNCTION("""COMPUTED_VALUE"""),45938.0)</f>
        <v>45938</v>
      </c>
      <c r="K55" s="85">
        <f>IFERROR(__xludf.DUMMYFUNCTION("""COMPUTED_VALUE"""),1.0)</f>
        <v>1</v>
      </c>
      <c r="L55" s="86" t="b">
        <f>IFERROR(__xludf.DUMMYFUNCTION("""COMPUTED_VALUE"""),FALSE)</f>
        <v>0</v>
      </c>
      <c r="M55" s="86" t="b">
        <f>IFERROR(__xludf.DUMMYFUNCTION("""COMPUTED_VALUE"""),FALSE)</f>
        <v>0</v>
      </c>
      <c r="N55" s="86" t="b">
        <f>IFERROR(__xludf.DUMMYFUNCTION("""COMPUTED_VALUE"""),FALSE)</f>
        <v>0</v>
      </c>
      <c r="O55" s="86" t="b">
        <f>IFERROR(__xludf.DUMMYFUNCTION("""COMPUTED_VALUE"""),FALSE)</f>
        <v>0</v>
      </c>
      <c r="P55" s="86" t="b">
        <f>IFERROR(__xludf.DUMMYFUNCTION("""COMPUTED_VALUE"""),FALSE)</f>
        <v>0</v>
      </c>
      <c r="Q55" s="86" t="b">
        <f>IFERROR(__xludf.DUMMYFUNCTION("""COMPUTED_VALUE"""),FALSE)</f>
        <v>0</v>
      </c>
      <c r="R55" s="87" t="b">
        <f>IFERROR(__xludf.DUMMYFUNCTION("""COMPUTED_VALUE"""),FALSE)</f>
        <v>0</v>
      </c>
      <c r="S55" s="87"/>
      <c r="T55" s="87"/>
      <c r="U55" s="87"/>
      <c r="V55" s="87"/>
    </row>
    <row r="56">
      <c r="A56" s="79" t="str">
        <f>IFERROR(__xludf.DUMMYFUNCTION("""COMPUTED_VALUE"""),"Mkhize")</f>
        <v>Mkhize</v>
      </c>
      <c r="B56" s="79" t="str">
        <f>IFERROR(__xludf.DUMMYFUNCTION("""COMPUTED_VALUE"""),"Handry")</f>
        <v>Handry</v>
      </c>
      <c r="C56" s="80" t="str">
        <f>IFERROR(__xludf.DUMMYFUNCTION("""COMPUTED_VALUE"""),"LSC")</f>
        <v>LSC</v>
      </c>
      <c r="D56" s="81">
        <f>IFERROR(__xludf.DUMMYFUNCTION("""COMPUTED_VALUE"""),24513.0)</f>
        <v>24513</v>
      </c>
      <c r="E56" s="82">
        <f>IFERROR(__xludf.DUMMYFUNCTION("""COMPUTED_VALUE"""),59.0)</f>
        <v>59</v>
      </c>
      <c r="F56" s="83" t="str">
        <f>IFERROR(__xludf.DUMMYFUNCTION("""COMPUTED_VALUE"""),"-")</f>
        <v>-</v>
      </c>
      <c r="G56" s="84">
        <f>IFERROR(__xludf.DUMMYFUNCTION("""COMPUTED_VALUE"""),6.34186072E8)</f>
        <v>634186072</v>
      </c>
      <c r="H56" s="82">
        <f>IFERROR(__xludf.DUMMYFUNCTION("""COMPUTED_VALUE"""),2.700418708E9)</f>
        <v>2700418708</v>
      </c>
      <c r="I56" s="83" t="str">
        <f>IFERROR(__xludf.DUMMYFUNCTION("""COMPUTED_VALUE"""),"Margate CC")</f>
        <v>Margate CC</v>
      </c>
      <c r="J56" s="81">
        <f>IFERROR(__xludf.DUMMYFUNCTION("""COMPUTED_VALUE"""),45959.0)</f>
        <v>45959</v>
      </c>
      <c r="K56" s="85">
        <f>IFERROR(__xludf.DUMMYFUNCTION("""COMPUTED_VALUE"""),1.0)</f>
        <v>1</v>
      </c>
      <c r="L56" s="86" t="b">
        <f>IFERROR(__xludf.DUMMYFUNCTION("""COMPUTED_VALUE"""),FALSE)</f>
        <v>0</v>
      </c>
      <c r="M56" s="86" t="b">
        <f>IFERROR(__xludf.DUMMYFUNCTION("""COMPUTED_VALUE"""),FALSE)</f>
        <v>0</v>
      </c>
      <c r="N56" s="86" t="b">
        <f>IFERROR(__xludf.DUMMYFUNCTION("""COMPUTED_VALUE"""),FALSE)</f>
        <v>0</v>
      </c>
      <c r="O56" s="86" t="b">
        <f>IFERROR(__xludf.DUMMYFUNCTION("""COMPUTED_VALUE"""),FALSE)</f>
        <v>0</v>
      </c>
      <c r="P56" s="86" t="b">
        <f>IFERROR(__xludf.DUMMYFUNCTION("""COMPUTED_VALUE"""),FALSE)</f>
        <v>0</v>
      </c>
      <c r="Q56" s="86" t="b">
        <f>IFERROR(__xludf.DUMMYFUNCTION("""COMPUTED_VALUE"""),FALSE)</f>
        <v>0</v>
      </c>
      <c r="R56" s="87" t="b">
        <f>IFERROR(__xludf.DUMMYFUNCTION("""COMPUTED_VALUE"""),FALSE)</f>
        <v>0</v>
      </c>
      <c r="S56" s="87"/>
      <c r="T56" s="87"/>
      <c r="U56" s="87"/>
      <c r="V56" s="87"/>
    </row>
    <row r="57">
      <c r="A57" s="79" t="str">
        <f>IFERROR(__xludf.DUMMYFUNCTION("""COMPUTED_VALUE"""),"Momberg")</f>
        <v>Momberg</v>
      </c>
      <c r="B57" s="79" t="str">
        <f>IFERROR(__xludf.DUMMYFUNCTION("""COMPUTED_VALUE"""),"Johan")</f>
        <v>Johan</v>
      </c>
      <c r="C57" s="80" t="str">
        <f>IFERROR(__xludf.DUMMYFUNCTION("""COMPUTED_VALUE"""),"LSC")</f>
        <v>LSC</v>
      </c>
      <c r="D57" s="81">
        <f>IFERROR(__xludf.DUMMYFUNCTION("""COMPUTED_VALUE"""),20994.0)</f>
        <v>20994</v>
      </c>
      <c r="E57" s="82">
        <f>IFERROR(__xludf.DUMMYFUNCTION("""COMPUTED_VALUE"""),69.0)</f>
        <v>69</v>
      </c>
      <c r="F57" s="83" t="str">
        <f>IFERROR(__xludf.DUMMYFUNCTION("""COMPUTED_VALUE"""),"jmomberg100@gmail.com")</f>
        <v>jmomberg100@gmail.com</v>
      </c>
      <c r="G57" s="84">
        <f>IFERROR(__xludf.DUMMYFUNCTION("""COMPUTED_VALUE"""),8.34147844E8)</f>
        <v>834147844</v>
      </c>
      <c r="H57" s="82">
        <f>IFERROR(__xludf.DUMMYFUNCTION("""COMPUTED_VALUE"""),2.700430441E9)</f>
        <v>2700430441</v>
      </c>
      <c r="I57" s="83" t="str">
        <f>IFERROR(__xludf.DUMMYFUNCTION("""COMPUTED_VALUE"""),"Margate Golf Club")</f>
        <v>Margate Golf Club</v>
      </c>
      <c r="J57" s="81">
        <f>IFERROR(__xludf.DUMMYFUNCTION("""COMPUTED_VALUE"""),45717.0)</f>
        <v>45717</v>
      </c>
      <c r="K57" s="85">
        <f>IFERROR(__xludf.DUMMYFUNCTION("""COMPUTED_VALUE"""),1.0)</f>
        <v>1</v>
      </c>
      <c r="L57" s="86" t="b">
        <f>IFERROR(__xludf.DUMMYFUNCTION("""COMPUTED_VALUE"""),FALSE)</f>
        <v>0</v>
      </c>
      <c r="M57" s="86" t="b">
        <f>IFERROR(__xludf.DUMMYFUNCTION("""COMPUTED_VALUE"""),FALSE)</f>
        <v>0</v>
      </c>
      <c r="N57" s="86" t="b">
        <f>IFERROR(__xludf.DUMMYFUNCTION("""COMPUTED_VALUE"""),FALSE)</f>
        <v>0</v>
      </c>
      <c r="O57" s="86" t="b">
        <f>IFERROR(__xludf.DUMMYFUNCTION("""COMPUTED_VALUE"""),FALSE)</f>
        <v>0</v>
      </c>
      <c r="P57" s="86" t="b">
        <f>IFERROR(__xludf.DUMMYFUNCTION("""COMPUTED_VALUE"""),FALSE)</f>
        <v>0</v>
      </c>
      <c r="Q57" s="86" t="b">
        <f>IFERROR(__xludf.DUMMYFUNCTION("""COMPUTED_VALUE"""),FALSE)</f>
        <v>0</v>
      </c>
      <c r="R57" s="87" t="b">
        <f>IFERROR(__xludf.DUMMYFUNCTION("""COMPUTED_VALUE"""),FALSE)</f>
        <v>0</v>
      </c>
      <c r="S57" s="87"/>
      <c r="T57" s="87"/>
      <c r="U57" s="87"/>
      <c r="V57" s="87"/>
    </row>
    <row r="58">
      <c r="A58" s="79" t="str">
        <f>IFERROR(__xludf.DUMMYFUNCTION("""COMPUTED_VALUE"""),"Murphy")</f>
        <v>Murphy</v>
      </c>
      <c r="B58" s="79" t="str">
        <f>IFERROR(__xludf.DUMMYFUNCTION("""COMPUTED_VALUE"""),"Mike")</f>
        <v>Mike</v>
      </c>
      <c r="C58" s="80" t="str">
        <f>IFERROR(__xludf.DUMMYFUNCTION("""COMPUTED_VALUE"""),"LSC")</f>
        <v>LSC</v>
      </c>
      <c r="D58" s="81">
        <f>IFERROR(__xludf.DUMMYFUNCTION("""COMPUTED_VALUE"""),19893.0)</f>
        <v>19893</v>
      </c>
      <c r="E58" s="82">
        <f>IFERROR(__xludf.DUMMYFUNCTION("""COMPUTED_VALUE"""),72.0)</f>
        <v>72</v>
      </c>
      <c r="F58" s="83" t="str">
        <f>IFERROR(__xludf.DUMMYFUNCTION("""COMPUTED_VALUE"""),"mike.patmurphy54@gmail.com")</f>
        <v>mike.patmurphy54@gmail.com</v>
      </c>
      <c r="G58" s="84">
        <f>IFERROR(__xludf.DUMMYFUNCTION("""COMPUTED_VALUE"""),8.34196453E8)</f>
        <v>834196453</v>
      </c>
      <c r="H58" s="82">
        <f>IFERROR(__xludf.DUMMYFUNCTION("""COMPUTED_VALUE"""),2.700101063E9)</f>
        <v>2700101063</v>
      </c>
      <c r="I58" s="83" t="str">
        <f>IFERROR(__xludf.DUMMYFUNCTION("""COMPUTED_VALUE"""),"Port Edward CC")</f>
        <v>Port Edward CC</v>
      </c>
      <c r="J58" s="81"/>
      <c r="K58" s="85">
        <f>IFERROR(__xludf.DUMMYFUNCTION("""COMPUTED_VALUE"""),127.0)</f>
        <v>127</v>
      </c>
      <c r="L58" s="86" t="b">
        <f>IFERROR(__xludf.DUMMYFUNCTION("""COMPUTED_VALUE"""),FALSE)</f>
        <v>0</v>
      </c>
      <c r="M58" s="86" t="b">
        <f>IFERROR(__xludf.DUMMYFUNCTION("""COMPUTED_VALUE"""),FALSE)</f>
        <v>0</v>
      </c>
      <c r="N58" s="86" t="b">
        <f>IFERROR(__xludf.DUMMYFUNCTION("""COMPUTED_VALUE"""),FALSE)</f>
        <v>0</v>
      </c>
      <c r="O58" s="86" t="b">
        <f>IFERROR(__xludf.DUMMYFUNCTION("""COMPUTED_VALUE"""),FALSE)</f>
        <v>0</v>
      </c>
      <c r="P58" s="86" t="b">
        <f>IFERROR(__xludf.DUMMYFUNCTION("""COMPUTED_VALUE"""),FALSE)</f>
        <v>0</v>
      </c>
      <c r="Q58" s="86" t="b">
        <f>IFERROR(__xludf.DUMMYFUNCTION("""COMPUTED_VALUE"""),FALSE)</f>
        <v>0</v>
      </c>
      <c r="R58" s="87" t="b">
        <f>IFERROR(__xludf.DUMMYFUNCTION("""COMPUTED_VALUE"""),FALSE)</f>
        <v>0</v>
      </c>
      <c r="S58" s="87"/>
      <c r="T58" s="87"/>
      <c r="U58" s="87"/>
      <c r="V58" s="87"/>
    </row>
    <row r="59">
      <c r="A59" s="79" t="str">
        <f>IFERROR(__xludf.DUMMYFUNCTION("""COMPUTED_VALUE"""),"Naude")</f>
        <v>Naude</v>
      </c>
      <c r="B59" s="79" t="str">
        <f>IFERROR(__xludf.DUMMYFUNCTION("""COMPUTED_VALUE"""),"Riaan")</f>
        <v>Riaan</v>
      </c>
      <c r="C59" s="80" t="str">
        <f>IFERROR(__xludf.DUMMYFUNCTION("""COMPUTED_VALUE"""),"LSC")</f>
        <v>LSC</v>
      </c>
      <c r="D59" s="81">
        <f>IFERROR(__xludf.DUMMYFUNCTION("""COMPUTED_VALUE"""),20510.0)</f>
        <v>20510</v>
      </c>
      <c r="E59" s="82">
        <f>IFERROR(__xludf.DUMMYFUNCTION("""COMPUTED_VALUE"""),70.0)</f>
        <v>70</v>
      </c>
      <c r="F59" s="83" t="str">
        <f>IFERROR(__xludf.DUMMYFUNCTION("""COMPUTED_VALUE"""),"nadriaan1@gmail.com")</f>
        <v>nadriaan1@gmail.com</v>
      </c>
      <c r="G59" s="84">
        <f>IFERROR(__xludf.DUMMYFUNCTION("""COMPUTED_VALUE"""),8.23373314E8)</f>
        <v>823373314</v>
      </c>
      <c r="H59" s="82">
        <f>IFERROR(__xludf.DUMMYFUNCTION("""COMPUTED_VALUE"""),2.700425646E9)</f>
        <v>2700425646</v>
      </c>
      <c r="I59" s="83" t="str">
        <f>IFERROR(__xludf.DUMMYFUNCTION("""COMPUTED_VALUE"""),"Margate CC")</f>
        <v>Margate CC</v>
      </c>
      <c r="J59" s="81"/>
      <c r="K59" s="85">
        <f>IFERROR(__xludf.DUMMYFUNCTION("""COMPUTED_VALUE"""),127.0)</f>
        <v>127</v>
      </c>
      <c r="L59" s="86" t="b">
        <f>IFERROR(__xludf.DUMMYFUNCTION("""COMPUTED_VALUE"""),FALSE)</f>
        <v>0</v>
      </c>
      <c r="M59" s="86" t="b">
        <f>IFERROR(__xludf.DUMMYFUNCTION("""COMPUTED_VALUE"""),FALSE)</f>
        <v>0</v>
      </c>
      <c r="N59" s="86" t="b">
        <f>IFERROR(__xludf.DUMMYFUNCTION("""COMPUTED_VALUE"""),FALSE)</f>
        <v>0</v>
      </c>
      <c r="O59" s="86" t="b">
        <f>IFERROR(__xludf.DUMMYFUNCTION("""COMPUTED_VALUE"""),FALSE)</f>
        <v>0</v>
      </c>
      <c r="P59" s="86" t="b">
        <f>IFERROR(__xludf.DUMMYFUNCTION("""COMPUTED_VALUE"""),FALSE)</f>
        <v>0</v>
      </c>
      <c r="Q59" s="86" t="b">
        <f>IFERROR(__xludf.DUMMYFUNCTION("""COMPUTED_VALUE"""),FALSE)</f>
        <v>0</v>
      </c>
      <c r="R59" s="87" t="b">
        <f>IFERROR(__xludf.DUMMYFUNCTION("""COMPUTED_VALUE"""),FALSE)</f>
        <v>0</v>
      </c>
      <c r="S59" s="87"/>
      <c r="T59" s="87"/>
      <c r="U59" s="87"/>
      <c r="V59" s="87"/>
    </row>
    <row r="60">
      <c r="A60" s="79" t="str">
        <f>IFERROR(__xludf.DUMMYFUNCTION("""COMPUTED_VALUE"""),"Nieuwoudt")</f>
        <v>Nieuwoudt</v>
      </c>
      <c r="B60" s="79" t="str">
        <f>IFERROR(__xludf.DUMMYFUNCTION("""COMPUTED_VALUE"""),"Org")</f>
        <v>Org</v>
      </c>
      <c r="C60" s="80" t="str">
        <f>IFERROR(__xludf.DUMMYFUNCTION("""COMPUTED_VALUE"""),"LSC")</f>
        <v>LSC</v>
      </c>
      <c r="D60" s="81"/>
      <c r="E60" s="82"/>
      <c r="F60" s="83"/>
      <c r="G60" s="84">
        <f>IFERROR(__xludf.DUMMYFUNCTION("""COMPUTED_VALUE"""),7.24439066E8)</f>
        <v>724439066</v>
      </c>
      <c r="H60" s="82">
        <f>IFERROR(__xludf.DUMMYFUNCTION("""COMPUTED_VALUE"""),2.700140345E9)</f>
        <v>2700140345</v>
      </c>
      <c r="I60" s="83" t="str">
        <f>IFERROR(__xludf.DUMMYFUNCTION("""COMPUTED_VALUE"""),"Port Shepstone CC")</f>
        <v>Port Shepstone CC</v>
      </c>
      <c r="J60" s="81"/>
      <c r="K60" s="85">
        <f>IFERROR(__xludf.DUMMYFUNCTION("""COMPUTED_VALUE"""),127.0)</f>
        <v>127</v>
      </c>
      <c r="L60" s="86" t="b">
        <f>IFERROR(__xludf.DUMMYFUNCTION("""COMPUTED_VALUE"""),FALSE)</f>
        <v>0</v>
      </c>
      <c r="M60" s="86" t="b">
        <f>IFERROR(__xludf.DUMMYFUNCTION("""COMPUTED_VALUE"""),FALSE)</f>
        <v>0</v>
      </c>
      <c r="N60" s="86" t="b">
        <f>IFERROR(__xludf.DUMMYFUNCTION("""COMPUTED_VALUE"""),FALSE)</f>
        <v>0</v>
      </c>
      <c r="O60" s="86" t="b">
        <f>IFERROR(__xludf.DUMMYFUNCTION("""COMPUTED_VALUE"""),FALSE)</f>
        <v>0</v>
      </c>
      <c r="P60" s="86" t="b">
        <f>IFERROR(__xludf.DUMMYFUNCTION("""COMPUTED_VALUE"""),FALSE)</f>
        <v>0</v>
      </c>
      <c r="Q60" s="86" t="b">
        <f>IFERROR(__xludf.DUMMYFUNCTION("""COMPUTED_VALUE"""),FALSE)</f>
        <v>0</v>
      </c>
      <c r="R60" s="87" t="b">
        <f>IFERROR(__xludf.DUMMYFUNCTION("""COMPUTED_VALUE"""),FALSE)</f>
        <v>0</v>
      </c>
      <c r="S60" s="87"/>
      <c r="T60" s="87"/>
      <c r="U60" s="87"/>
      <c r="V60" s="87"/>
    </row>
    <row r="61">
      <c r="A61" s="79" t="str">
        <f>IFERROR(__xludf.DUMMYFUNCTION("""COMPUTED_VALUE"""),"Nxamangele")</f>
        <v>Nxamangele</v>
      </c>
      <c r="B61" s="79" t="str">
        <f>IFERROR(__xludf.DUMMYFUNCTION("""COMPUTED_VALUE"""),"General SLA")</f>
        <v>General SLA</v>
      </c>
      <c r="C61" s="80" t="str">
        <f>IFERROR(__xludf.DUMMYFUNCTION("""COMPUTED_VALUE"""),"LSC")</f>
        <v>LSC</v>
      </c>
      <c r="D61" s="81">
        <f>IFERROR(__xludf.DUMMYFUNCTION("""COMPUTED_VALUE"""),23992.0)</f>
        <v>23992</v>
      </c>
      <c r="E61" s="82">
        <f>IFERROR(__xludf.DUMMYFUNCTION("""COMPUTED_VALUE"""),60.0)</f>
        <v>60</v>
      </c>
      <c r="F61" s="83" t="str">
        <f>IFERROR(__xludf.DUMMYFUNCTION("""COMPUTED_VALUE"""),"agnesnxamagele65@gmail.com")</f>
        <v>agnesnxamagele65@gmail.com</v>
      </c>
      <c r="G61" s="84">
        <f>IFERROR(__xludf.DUMMYFUNCTION("""COMPUTED_VALUE"""),8.24668535E8)</f>
        <v>824668535</v>
      </c>
      <c r="H61" s="82">
        <f>IFERROR(__xludf.DUMMYFUNCTION("""COMPUTED_VALUE"""),2.700462189E9)</f>
        <v>2700462189</v>
      </c>
      <c r="I61" s="83" t="str">
        <f>IFERROR(__xludf.DUMMYFUNCTION("""COMPUTED_VALUE"""),"Margate CC")</f>
        <v>Margate CC</v>
      </c>
      <c r="J61" s="81">
        <f>IFERROR(__xludf.DUMMYFUNCTION("""COMPUTED_VALUE"""),46371.0)</f>
        <v>46371</v>
      </c>
      <c r="K61" s="85">
        <f>IFERROR(__xludf.DUMMYFUNCTION("""COMPUTED_VALUE"""),0.0)</f>
        <v>0</v>
      </c>
      <c r="L61" s="86" t="b">
        <f>IFERROR(__xludf.DUMMYFUNCTION("""COMPUTED_VALUE"""),FALSE)</f>
        <v>0</v>
      </c>
      <c r="M61" s="86" t="b">
        <f>IFERROR(__xludf.DUMMYFUNCTION("""COMPUTED_VALUE"""),FALSE)</f>
        <v>0</v>
      </c>
      <c r="N61" s="86" t="b">
        <f>IFERROR(__xludf.DUMMYFUNCTION("""COMPUTED_VALUE"""),FALSE)</f>
        <v>0</v>
      </c>
      <c r="O61" s="86" t="b">
        <f>IFERROR(__xludf.DUMMYFUNCTION("""COMPUTED_VALUE"""),FALSE)</f>
        <v>0</v>
      </c>
      <c r="P61" s="86" t="b">
        <f>IFERROR(__xludf.DUMMYFUNCTION("""COMPUTED_VALUE"""),FALSE)</f>
        <v>0</v>
      </c>
      <c r="Q61" s="86" t="b">
        <f>IFERROR(__xludf.DUMMYFUNCTION("""COMPUTED_VALUE"""),FALSE)</f>
        <v>0</v>
      </c>
      <c r="R61" s="87" t="b">
        <f>IFERROR(__xludf.DUMMYFUNCTION("""COMPUTED_VALUE"""),FALSE)</f>
        <v>0</v>
      </c>
      <c r="S61" s="87"/>
      <c r="T61" s="87"/>
      <c r="U61" s="87"/>
      <c r="V61" s="87"/>
    </row>
    <row r="62">
      <c r="A62" s="79" t="str">
        <f>IFERROR(__xludf.DUMMYFUNCTION("""COMPUTED_VALUE"""),"Oberholzer")</f>
        <v>Oberholzer</v>
      </c>
      <c r="B62" s="79" t="str">
        <f>IFERROR(__xludf.DUMMYFUNCTION("""COMPUTED_VALUE"""),"Johan")</f>
        <v>Johan</v>
      </c>
      <c r="C62" s="80" t="str">
        <f>IFERROR(__xludf.DUMMYFUNCTION("""COMPUTED_VALUE"""),"LSC")</f>
        <v>LSC</v>
      </c>
      <c r="D62" s="81">
        <f>IFERROR(__xludf.DUMMYFUNCTION("""COMPUTED_VALUE"""),21768.0)</f>
        <v>21768</v>
      </c>
      <c r="E62" s="82">
        <f>IFERROR(__xludf.DUMMYFUNCTION("""COMPUTED_VALUE"""),66.0)</f>
        <v>66</v>
      </c>
      <c r="F62" s="83" t="str">
        <f>IFERROR(__xludf.DUMMYFUNCTION("""COMPUTED_VALUE"""),"joberholzer18@gmail.com")</f>
        <v>joberholzer18@gmail.com</v>
      </c>
      <c r="G62" s="84">
        <f>IFERROR(__xludf.DUMMYFUNCTION("""COMPUTED_VALUE"""),8.3455988E8)</f>
        <v>834559880</v>
      </c>
      <c r="H62" s="82">
        <f>IFERROR(__xludf.DUMMYFUNCTION("""COMPUTED_VALUE"""),2.70040113E9)</f>
        <v>2700401130</v>
      </c>
      <c r="I62" s="83" t="str">
        <f>IFERROR(__xludf.DUMMYFUNCTION("""COMPUTED_VALUE"""),"Port Edward CC")</f>
        <v>Port Edward CC</v>
      </c>
      <c r="J62" s="81">
        <f>IFERROR(__xludf.DUMMYFUNCTION("""COMPUTED_VALUE"""),46051.0)</f>
        <v>46051</v>
      </c>
      <c r="K62" s="85">
        <f>IFERROR(__xludf.DUMMYFUNCTION("""COMPUTED_VALUE"""),0.0)</f>
        <v>0</v>
      </c>
      <c r="L62" s="86" t="b">
        <f>IFERROR(__xludf.DUMMYFUNCTION("""COMPUTED_VALUE"""),FALSE)</f>
        <v>0</v>
      </c>
      <c r="M62" s="86" t="b">
        <f>IFERROR(__xludf.DUMMYFUNCTION("""COMPUTED_VALUE"""),FALSE)</f>
        <v>0</v>
      </c>
      <c r="N62" s="86" t="b">
        <f>IFERROR(__xludf.DUMMYFUNCTION("""COMPUTED_VALUE"""),FALSE)</f>
        <v>0</v>
      </c>
      <c r="O62" s="86" t="b">
        <f>IFERROR(__xludf.DUMMYFUNCTION("""COMPUTED_VALUE"""),FALSE)</f>
        <v>0</v>
      </c>
      <c r="P62" s="86" t="b">
        <f>IFERROR(__xludf.DUMMYFUNCTION("""COMPUTED_VALUE"""),FALSE)</f>
        <v>0</v>
      </c>
      <c r="Q62" s="86" t="b">
        <f>IFERROR(__xludf.DUMMYFUNCTION("""COMPUTED_VALUE"""),FALSE)</f>
        <v>0</v>
      </c>
      <c r="R62" s="87" t="b">
        <f>IFERROR(__xludf.DUMMYFUNCTION("""COMPUTED_VALUE"""),FALSE)</f>
        <v>0</v>
      </c>
      <c r="S62" s="87"/>
      <c r="T62" s="87"/>
      <c r="U62" s="87"/>
      <c r="V62" s="87"/>
    </row>
    <row r="63">
      <c r="A63" s="79" t="str">
        <f>IFERROR(__xludf.DUMMYFUNCTION("""COMPUTED_VALUE"""),"Oehme")</f>
        <v>Oehme</v>
      </c>
      <c r="B63" s="79" t="str">
        <f>IFERROR(__xludf.DUMMYFUNCTION("""COMPUTED_VALUE"""),"Barry")</f>
        <v>Barry</v>
      </c>
      <c r="C63" s="80" t="str">
        <f>IFERROR(__xludf.DUMMYFUNCTION("""COMPUTED_VALUE"""),"LSC")</f>
        <v>LSC</v>
      </c>
      <c r="D63" s="81">
        <f>IFERROR(__xludf.DUMMYFUNCTION("""COMPUTED_VALUE"""),17234.0)</f>
        <v>17234</v>
      </c>
      <c r="E63" s="82">
        <f>IFERROR(__xludf.DUMMYFUNCTION("""COMPUTED_VALUE"""),79.0)</f>
        <v>79</v>
      </c>
      <c r="F63" s="83" t="str">
        <f>IFERROR(__xludf.DUMMYFUNCTION("""COMPUTED_VALUE"""),"bhoehme@outlook.com")</f>
        <v>bhoehme@outlook.com</v>
      </c>
      <c r="G63" s="84">
        <f>IFERROR(__xludf.DUMMYFUNCTION("""COMPUTED_VALUE"""),8.36319439E8)</f>
        <v>836319439</v>
      </c>
      <c r="H63" s="82">
        <f>IFERROR(__xludf.DUMMYFUNCTION("""COMPUTED_VALUE"""),2.700155578E9)</f>
        <v>2700155578</v>
      </c>
      <c r="I63" s="83" t="str">
        <f>IFERROR(__xludf.DUMMYFUNCTION("""COMPUTED_VALUE"""),"Port Shepstone CC")</f>
        <v>Port Shepstone CC</v>
      </c>
      <c r="J63" s="81"/>
      <c r="K63" s="85">
        <f>IFERROR(__xludf.DUMMYFUNCTION("""COMPUTED_VALUE"""),127.0)</f>
        <v>127</v>
      </c>
      <c r="L63" s="86" t="b">
        <f>IFERROR(__xludf.DUMMYFUNCTION("""COMPUTED_VALUE"""),FALSE)</f>
        <v>0</v>
      </c>
      <c r="M63" s="86" t="b">
        <f>IFERROR(__xludf.DUMMYFUNCTION("""COMPUTED_VALUE"""),FALSE)</f>
        <v>0</v>
      </c>
      <c r="N63" s="86" t="b">
        <f>IFERROR(__xludf.DUMMYFUNCTION("""COMPUTED_VALUE"""),FALSE)</f>
        <v>0</v>
      </c>
      <c r="O63" s="86" t="b">
        <f>IFERROR(__xludf.DUMMYFUNCTION("""COMPUTED_VALUE"""),FALSE)</f>
        <v>0</v>
      </c>
      <c r="P63" s="86" t="b">
        <f>IFERROR(__xludf.DUMMYFUNCTION("""COMPUTED_VALUE"""),FALSE)</f>
        <v>0</v>
      </c>
      <c r="Q63" s="86" t="b">
        <f>IFERROR(__xludf.DUMMYFUNCTION("""COMPUTED_VALUE"""),FALSE)</f>
        <v>0</v>
      </c>
      <c r="R63" s="87" t="b">
        <f>IFERROR(__xludf.DUMMYFUNCTION("""COMPUTED_VALUE"""),FALSE)</f>
        <v>0</v>
      </c>
      <c r="S63" s="87"/>
      <c r="T63" s="87"/>
      <c r="U63" s="87"/>
      <c r="V63" s="87"/>
    </row>
    <row r="64">
      <c r="A64" s="79" t="str">
        <f>IFERROR(__xludf.DUMMYFUNCTION("""COMPUTED_VALUE"""),"Oliver")</f>
        <v>Oliver</v>
      </c>
      <c r="B64" s="79" t="str">
        <f>IFERROR(__xludf.DUMMYFUNCTION("""COMPUTED_VALUE"""),"Steve")</f>
        <v>Steve</v>
      </c>
      <c r="C64" s="80" t="str">
        <f>IFERROR(__xludf.DUMMYFUNCTION("""COMPUTED_VALUE"""),"LSC")</f>
        <v>LSC</v>
      </c>
      <c r="D64" s="81">
        <f>IFERROR(__xludf.DUMMYFUNCTION("""COMPUTED_VALUE"""),18945.0)</f>
        <v>18945</v>
      </c>
      <c r="E64" s="82">
        <f>IFERROR(__xludf.DUMMYFUNCTION("""COMPUTED_VALUE"""),74.0)</f>
        <v>74</v>
      </c>
      <c r="F64" s="83" t="str">
        <f>IFERROR(__xludf.DUMMYFUNCTION("""COMPUTED_VALUE"""),"steveoliver@telkomsa.net")</f>
        <v>steveoliver@telkomsa.net</v>
      </c>
      <c r="G64" s="84">
        <f>IFERROR(__xludf.DUMMYFUNCTION("""COMPUTED_VALUE"""),8.32557262E8)</f>
        <v>832557262</v>
      </c>
      <c r="H64" s="82">
        <f>IFERROR(__xludf.DUMMYFUNCTION("""COMPUTED_VALUE"""),2.700082012E9)</f>
        <v>2700082012</v>
      </c>
      <c r="I64" s="83" t="str">
        <f>IFERROR(__xludf.DUMMYFUNCTION("""COMPUTED_VALUE"""),"Umkomaas")</f>
        <v>Umkomaas</v>
      </c>
      <c r="J64" s="81">
        <f>IFERROR(__xludf.DUMMYFUNCTION("""COMPUTED_VALUE"""),45072.0)</f>
        <v>45072</v>
      </c>
      <c r="K64" s="85">
        <f>IFERROR(__xludf.DUMMYFUNCTION("""COMPUTED_VALUE"""),3.0)</f>
        <v>3</v>
      </c>
      <c r="L64" s="86" t="b">
        <f>IFERROR(__xludf.DUMMYFUNCTION("""COMPUTED_VALUE"""),FALSE)</f>
        <v>0</v>
      </c>
      <c r="M64" s="86" t="b">
        <f>IFERROR(__xludf.DUMMYFUNCTION("""COMPUTED_VALUE"""),FALSE)</f>
        <v>0</v>
      </c>
      <c r="N64" s="86" t="b">
        <f>IFERROR(__xludf.DUMMYFUNCTION("""COMPUTED_VALUE"""),FALSE)</f>
        <v>0</v>
      </c>
      <c r="O64" s="86" t="b">
        <f>IFERROR(__xludf.DUMMYFUNCTION("""COMPUTED_VALUE"""),FALSE)</f>
        <v>0</v>
      </c>
      <c r="P64" s="86" t="b">
        <f>IFERROR(__xludf.DUMMYFUNCTION("""COMPUTED_VALUE"""),FALSE)</f>
        <v>0</v>
      </c>
      <c r="Q64" s="86" t="b">
        <f>IFERROR(__xludf.DUMMYFUNCTION("""COMPUTED_VALUE"""),FALSE)</f>
        <v>0</v>
      </c>
      <c r="R64" s="87" t="b">
        <f>IFERROR(__xludf.DUMMYFUNCTION("""COMPUTED_VALUE"""),FALSE)</f>
        <v>0</v>
      </c>
      <c r="S64" s="87"/>
      <c r="T64" s="87"/>
      <c r="U64" s="87"/>
      <c r="V64" s="87"/>
    </row>
    <row r="65">
      <c r="A65" s="79" t="str">
        <f>IFERROR(__xludf.DUMMYFUNCTION("""COMPUTED_VALUE"""),"Olivier")</f>
        <v>Olivier</v>
      </c>
      <c r="B65" s="79" t="str">
        <f>IFERROR(__xludf.DUMMYFUNCTION("""COMPUTED_VALUE"""),"Poen")</f>
        <v>Poen</v>
      </c>
      <c r="C65" s="80" t="str">
        <f>IFERROR(__xludf.DUMMYFUNCTION("""COMPUTED_VALUE"""),"LSC")</f>
        <v>LSC</v>
      </c>
      <c r="D65" s="81">
        <f>IFERROR(__xludf.DUMMYFUNCTION("""COMPUTED_VALUE"""),20654.0)</f>
        <v>20654</v>
      </c>
      <c r="E65" s="82">
        <f>IFERROR(__xludf.DUMMYFUNCTION("""COMPUTED_VALUE"""),70.0)</f>
        <v>70</v>
      </c>
      <c r="F65" s="83" t="str">
        <f>IFERROR(__xludf.DUMMYFUNCTION("""COMPUTED_VALUE"""),"poenolivier@hotmail.com")</f>
        <v>poenolivier@hotmail.com</v>
      </c>
      <c r="G65" s="84">
        <f>IFERROR(__xludf.DUMMYFUNCTION("""COMPUTED_VALUE"""),8.24551976E8)</f>
        <v>824551976</v>
      </c>
      <c r="H65" s="82">
        <f>IFERROR(__xludf.DUMMYFUNCTION("""COMPUTED_VALUE"""),2.700113907E9)</f>
        <v>2700113907</v>
      </c>
      <c r="I65" s="83" t="str">
        <f>IFERROR(__xludf.DUMMYFUNCTION("""COMPUTED_VALUE"""),"Umdoni")</f>
        <v>Umdoni</v>
      </c>
      <c r="J65" s="81">
        <f>IFERROR(__xludf.DUMMYFUNCTION("""COMPUTED_VALUE"""),39037.0)</f>
        <v>39037</v>
      </c>
      <c r="K65" s="85">
        <f>IFERROR(__xludf.DUMMYFUNCTION("""COMPUTED_VALUE"""),20.0)</f>
        <v>20</v>
      </c>
      <c r="L65" s="86" t="b">
        <f>IFERROR(__xludf.DUMMYFUNCTION("""COMPUTED_VALUE"""),FALSE)</f>
        <v>0</v>
      </c>
      <c r="M65" s="86" t="b">
        <f>IFERROR(__xludf.DUMMYFUNCTION("""COMPUTED_VALUE"""),FALSE)</f>
        <v>0</v>
      </c>
      <c r="N65" s="86" t="b">
        <f>IFERROR(__xludf.DUMMYFUNCTION("""COMPUTED_VALUE"""),FALSE)</f>
        <v>0</v>
      </c>
      <c r="O65" s="86" t="b">
        <f>IFERROR(__xludf.DUMMYFUNCTION("""COMPUTED_VALUE"""),FALSE)</f>
        <v>0</v>
      </c>
      <c r="P65" s="86" t="b">
        <f>IFERROR(__xludf.DUMMYFUNCTION("""COMPUTED_VALUE"""),FALSE)</f>
        <v>0</v>
      </c>
      <c r="Q65" s="86" t="b">
        <f>IFERROR(__xludf.DUMMYFUNCTION("""COMPUTED_VALUE"""),FALSE)</f>
        <v>0</v>
      </c>
      <c r="R65" s="87" t="b">
        <f>IFERROR(__xludf.DUMMYFUNCTION("""COMPUTED_VALUE"""),FALSE)</f>
        <v>0</v>
      </c>
      <c r="S65" s="87"/>
      <c r="T65" s="87"/>
      <c r="U65" s="87"/>
      <c r="V65" s="87"/>
    </row>
    <row r="66">
      <c r="A66" s="79" t="str">
        <f>IFERROR(__xludf.DUMMYFUNCTION("""COMPUTED_VALUE"""),"Olivier")</f>
        <v>Olivier</v>
      </c>
      <c r="B66" s="79" t="str">
        <f>IFERROR(__xludf.DUMMYFUNCTION("""COMPUTED_VALUE"""),"Suzette")</f>
        <v>Suzette</v>
      </c>
      <c r="C66" s="80" t="str">
        <f>IFERROR(__xludf.DUMMYFUNCTION("""COMPUTED_VALUE"""),"LSC")</f>
        <v>LSC</v>
      </c>
      <c r="D66" s="81">
        <f>IFERROR(__xludf.DUMMYFUNCTION("""COMPUTED_VALUE"""),21314.0)</f>
        <v>21314</v>
      </c>
      <c r="E66" s="82">
        <f>IFERROR(__xludf.DUMMYFUNCTION("""COMPUTED_VALUE"""),68.0)</f>
        <v>68</v>
      </c>
      <c r="F66" s="83" t="str">
        <f>IFERROR(__xludf.DUMMYFUNCTION("""COMPUTED_VALUE"""),"suzetteoli123@icloud.com")</f>
        <v>suzetteoli123@icloud.com</v>
      </c>
      <c r="G66" s="84">
        <f>IFERROR(__xludf.DUMMYFUNCTION("""COMPUTED_VALUE"""),8.2578616E8)</f>
        <v>825786160</v>
      </c>
      <c r="H66" s="82">
        <f>IFERROR(__xludf.DUMMYFUNCTION("""COMPUTED_VALUE"""),2.700143065E9)</f>
        <v>2700143065</v>
      </c>
      <c r="I66" s="83" t="str">
        <f>IFERROR(__xludf.DUMMYFUNCTION("""COMPUTED_VALUE"""),"Umdoni")</f>
        <v>Umdoni</v>
      </c>
      <c r="J66" s="81">
        <f>IFERROR(__xludf.DUMMYFUNCTION("""COMPUTED_VALUE"""),39709.0)</f>
        <v>39709</v>
      </c>
      <c r="K66" s="85">
        <f>IFERROR(__xludf.DUMMYFUNCTION("""COMPUTED_VALUE"""),18.0)</f>
        <v>18</v>
      </c>
      <c r="L66" s="86" t="b">
        <f>IFERROR(__xludf.DUMMYFUNCTION("""COMPUTED_VALUE"""),FALSE)</f>
        <v>0</v>
      </c>
      <c r="M66" s="86" t="b">
        <f>IFERROR(__xludf.DUMMYFUNCTION("""COMPUTED_VALUE"""),FALSE)</f>
        <v>0</v>
      </c>
      <c r="N66" s="86" t="b">
        <f>IFERROR(__xludf.DUMMYFUNCTION("""COMPUTED_VALUE"""),FALSE)</f>
        <v>0</v>
      </c>
      <c r="O66" s="86" t="b">
        <f>IFERROR(__xludf.DUMMYFUNCTION("""COMPUTED_VALUE"""),FALSE)</f>
        <v>0</v>
      </c>
      <c r="P66" s="86" t="b">
        <f>IFERROR(__xludf.DUMMYFUNCTION("""COMPUTED_VALUE"""),TRUE)</f>
        <v>1</v>
      </c>
      <c r="Q66" s="86" t="b">
        <f>IFERROR(__xludf.DUMMYFUNCTION("""COMPUTED_VALUE"""),FALSE)</f>
        <v>0</v>
      </c>
      <c r="R66" s="87" t="b">
        <f>IFERROR(__xludf.DUMMYFUNCTION("""COMPUTED_VALUE"""),FALSE)</f>
        <v>0</v>
      </c>
      <c r="S66" s="87"/>
      <c r="T66" s="87"/>
      <c r="U66" s="87"/>
      <c r="V66" s="87"/>
    </row>
    <row r="67">
      <c r="A67" s="79" t="str">
        <f>IFERROR(__xludf.DUMMYFUNCTION("""COMPUTED_VALUE"""),"Oxenham")</f>
        <v>Oxenham</v>
      </c>
      <c r="B67" s="79" t="str">
        <f>IFERROR(__xludf.DUMMYFUNCTION("""COMPUTED_VALUE"""),"Oxy")</f>
        <v>Oxy</v>
      </c>
      <c r="C67" s="80" t="str">
        <f>IFERROR(__xludf.DUMMYFUNCTION("""COMPUTED_VALUE"""),"LSC")</f>
        <v>LSC</v>
      </c>
      <c r="D67" s="81">
        <f>IFERROR(__xludf.DUMMYFUNCTION("""COMPUTED_VALUE"""),20912.0)</f>
        <v>20912</v>
      </c>
      <c r="E67" s="82">
        <f>IFERROR(__xludf.DUMMYFUNCTION("""COMPUTED_VALUE"""),69.0)</f>
        <v>69</v>
      </c>
      <c r="F67" s="83" t="str">
        <f>IFERROR(__xludf.DUMMYFUNCTION("""COMPUTED_VALUE"""),"kevinoxy1@gmail.com")</f>
        <v>kevinoxy1@gmail.com</v>
      </c>
      <c r="G67" s="84">
        <f>IFERROR(__xludf.DUMMYFUNCTION("""COMPUTED_VALUE"""),7.41942727E8)</f>
        <v>741942727</v>
      </c>
      <c r="H67" s="82">
        <f>IFERROR(__xludf.DUMMYFUNCTION("""COMPUTED_VALUE"""),2.70044023E9)</f>
        <v>2700440230</v>
      </c>
      <c r="I67" s="83" t="str">
        <f>IFERROR(__xludf.DUMMYFUNCTION("""COMPUTED_VALUE"""),"Margate CC")</f>
        <v>Margate CC</v>
      </c>
      <c r="J67" s="81"/>
      <c r="K67" s="85">
        <f>IFERROR(__xludf.DUMMYFUNCTION("""COMPUTED_VALUE"""),127.0)</f>
        <v>127</v>
      </c>
      <c r="L67" s="86" t="b">
        <f>IFERROR(__xludf.DUMMYFUNCTION("""COMPUTED_VALUE"""),FALSE)</f>
        <v>0</v>
      </c>
      <c r="M67" s="86" t="b">
        <f>IFERROR(__xludf.DUMMYFUNCTION("""COMPUTED_VALUE"""),FALSE)</f>
        <v>0</v>
      </c>
      <c r="N67" s="86" t="b">
        <f>IFERROR(__xludf.DUMMYFUNCTION("""COMPUTED_VALUE"""),FALSE)</f>
        <v>0</v>
      </c>
      <c r="O67" s="86" t="b">
        <f>IFERROR(__xludf.DUMMYFUNCTION("""COMPUTED_VALUE"""),FALSE)</f>
        <v>0</v>
      </c>
      <c r="P67" s="86" t="b">
        <f>IFERROR(__xludf.DUMMYFUNCTION("""COMPUTED_VALUE"""),FALSE)</f>
        <v>0</v>
      </c>
      <c r="Q67" s="86" t="b">
        <f>IFERROR(__xludf.DUMMYFUNCTION("""COMPUTED_VALUE"""),FALSE)</f>
        <v>0</v>
      </c>
      <c r="R67" s="87" t="b">
        <f>IFERROR(__xludf.DUMMYFUNCTION("""COMPUTED_VALUE"""),FALSE)</f>
        <v>0</v>
      </c>
      <c r="S67" s="87"/>
      <c r="T67" s="87"/>
      <c r="U67" s="87"/>
      <c r="V67" s="87"/>
    </row>
    <row r="68">
      <c r="A68" s="79" t="str">
        <f>IFERROR(__xludf.DUMMYFUNCTION("""COMPUTED_VALUE"""),"Peens")</f>
        <v>Peens</v>
      </c>
      <c r="B68" s="79" t="str">
        <f>IFERROR(__xludf.DUMMYFUNCTION("""COMPUTED_VALUE"""),"Werner")</f>
        <v>Werner</v>
      </c>
      <c r="C68" s="80" t="str">
        <f>IFERROR(__xludf.DUMMYFUNCTION("""COMPUTED_VALUE"""),"LSC")</f>
        <v>LSC</v>
      </c>
      <c r="D68" s="81">
        <f>IFERROR(__xludf.DUMMYFUNCTION("""COMPUTED_VALUE"""),26427.0)</f>
        <v>26427</v>
      </c>
      <c r="E68" s="82">
        <f>IFERROR(__xludf.DUMMYFUNCTION("""COMPUTED_VALUE"""),54.0)</f>
        <v>54</v>
      </c>
      <c r="F68" s="83" t="str">
        <f>IFERROR(__xludf.DUMMYFUNCTION("""COMPUTED_VALUE"""),"wdpeens@mweb.co.za")</f>
        <v>wdpeens@mweb.co.za</v>
      </c>
      <c r="G68" s="84">
        <f>IFERROR(__xludf.DUMMYFUNCTION("""COMPUTED_VALUE"""),6.06933006E8)</f>
        <v>606933006</v>
      </c>
      <c r="H68" s="82">
        <f>IFERROR(__xludf.DUMMYFUNCTION("""COMPUTED_VALUE"""),2.700251368E9)</f>
        <v>2700251368</v>
      </c>
      <c r="I68" s="83" t="str">
        <f>IFERROR(__xludf.DUMMYFUNCTION("""COMPUTED_VALUE"""),"Margate CC")</f>
        <v>Margate CC</v>
      </c>
      <c r="J68" s="81"/>
      <c r="K68" s="85">
        <f>IFERROR(__xludf.DUMMYFUNCTION("""COMPUTED_VALUE"""),127.0)</f>
        <v>127</v>
      </c>
      <c r="L68" s="86" t="b">
        <f>IFERROR(__xludf.DUMMYFUNCTION("""COMPUTED_VALUE"""),FALSE)</f>
        <v>0</v>
      </c>
      <c r="M68" s="86" t="b">
        <f>IFERROR(__xludf.DUMMYFUNCTION("""COMPUTED_VALUE"""),FALSE)</f>
        <v>0</v>
      </c>
      <c r="N68" s="86" t="b">
        <f>IFERROR(__xludf.DUMMYFUNCTION("""COMPUTED_VALUE"""),FALSE)</f>
        <v>0</v>
      </c>
      <c r="O68" s="86" t="b">
        <f>IFERROR(__xludf.DUMMYFUNCTION("""COMPUTED_VALUE"""),FALSE)</f>
        <v>0</v>
      </c>
      <c r="P68" s="86" t="b">
        <f>IFERROR(__xludf.DUMMYFUNCTION("""COMPUTED_VALUE"""),FALSE)</f>
        <v>0</v>
      </c>
      <c r="Q68" s="86" t="b">
        <f>IFERROR(__xludf.DUMMYFUNCTION("""COMPUTED_VALUE"""),FALSE)</f>
        <v>0</v>
      </c>
      <c r="R68" s="87" t="b">
        <f>IFERROR(__xludf.DUMMYFUNCTION("""COMPUTED_VALUE"""),FALSE)</f>
        <v>0</v>
      </c>
      <c r="S68" s="87"/>
      <c r="T68" s="87"/>
      <c r="U68" s="87"/>
      <c r="V68" s="87"/>
    </row>
    <row r="69">
      <c r="A69" s="79" t="str">
        <f>IFERROR(__xludf.DUMMYFUNCTION("""COMPUTED_VALUE"""),"Penny")</f>
        <v>Penny</v>
      </c>
      <c r="B69" s="79" t="str">
        <f>IFERROR(__xludf.DUMMYFUNCTION("""COMPUTED_VALUE"""),"Colin")</f>
        <v>Colin</v>
      </c>
      <c r="C69" s="80" t="str">
        <f>IFERROR(__xludf.DUMMYFUNCTION("""COMPUTED_VALUE"""),"LSC")</f>
        <v>LSC</v>
      </c>
      <c r="D69" s="81"/>
      <c r="E69" s="82"/>
      <c r="F69" s="83"/>
      <c r="G69" s="84">
        <f>IFERROR(__xludf.DUMMYFUNCTION("""COMPUTED_VALUE"""),8.47268203E8)</f>
        <v>847268203</v>
      </c>
      <c r="H69" s="82">
        <f>IFERROR(__xludf.DUMMYFUNCTION("""COMPUTED_VALUE"""),2.700205918E9)</f>
        <v>2700205918</v>
      </c>
      <c r="I69" s="83" t="str">
        <f>IFERROR(__xludf.DUMMYFUNCTION("""COMPUTED_VALUE"""),"Margate CC")</f>
        <v>Margate CC</v>
      </c>
      <c r="J69" s="81">
        <f>IFERROR(__xludf.DUMMYFUNCTION("""COMPUTED_VALUE"""),46006.0)</f>
        <v>46006</v>
      </c>
      <c r="K69" s="85">
        <f>IFERROR(__xludf.DUMMYFUNCTION("""COMPUTED_VALUE"""),1.0)</f>
        <v>1</v>
      </c>
      <c r="L69" s="86" t="b">
        <f>IFERROR(__xludf.DUMMYFUNCTION("""COMPUTED_VALUE"""),FALSE)</f>
        <v>0</v>
      </c>
      <c r="M69" s="86" t="b">
        <f>IFERROR(__xludf.DUMMYFUNCTION("""COMPUTED_VALUE"""),FALSE)</f>
        <v>0</v>
      </c>
      <c r="N69" s="86" t="b">
        <f>IFERROR(__xludf.DUMMYFUNCTION("""COMPUTED_VALUE"""),FALSE)</f>
        <v>0</v>
      </c>
      <c r="O69" s="86" t="b">
        <f>IFERROR(__xludf.DUMMYFUNCTION("""COMPUTED_VALUE"""),FALSE)</f>
        <v>0</v>
      </c>
      <c r="P69" s="86" t="b">
        <f>IFERROR(__xludf.DUMMYFUNCTION("""COMPUTED_VALUE"""),FALSE)</f>
        <v>0</v>
      </c>
      <c r="Q69" s="86" t="b">
        <f>IFERROR(__xludf.DUMMYFUNCTION("""COMPUTED_VALUE"""),FALSE)</f>
        <v>0</v>
      </c>
      <c r="R69" s="87" t="b">
        <f>IFERROR(__xludf.DUMMYFUNCTION("""COMPUTED_VALUE"""),FALSE)</f>
        <v>0</v>
      </c>
      <c r="S69" s="87"/>
      <c r="T69" s="87"/>
      <c r="U69" s="87"/>
      <c r="V69" s="87"/>
    </row>
    <row r="70">
      <c r="A70" s="79" t="str">
        <f>IFERROR(__xludf.DUMMYFUNCTION("""COMPUTED_VALUE"""),"Pereira")</f>
        <v>Pereira</v>
      </c>
      <c r="B70" s="79" t="str">
        <f>IFERROR(__xludf.DUMMYFUNCTION("""COMPUTED_VALUE"""),"Carlos")</f>
        <v>Carlos</v>
      </c>
      <c r="C70" s="80" t="str">
        <f>IFERROR(__xludf.DUMMYFUNCTION("""COMPUTED_VALUE"""),"LSC")</f>
        <v>LSC</v>
      </c>
      <c r="D70" s="81">
        <f>IFERROR(__xludf.DUMMYFUNCTION("""COMPUTED_VALUE"""),18692.0)</f>
        <v>18692</v>
      </c>
      <c r="E70" s="82">
        <f>IFERROR(__xludf.DUMMYFUNCTION("""COMPUTED_VALUE"""),75.0)</f>
        <v>75</v>
      </c>
      <c r="F70" s="83" t="str">
        <f>IFERROR(__xludf.DUMMYFUNCTION("""COMPUTED_VALUE"""),"pereira.caf@gmail.com")</f>
        <v>pereira.caf@gmail.com</v>
      </c>
      <c r="G70" s="84">
        <f>IFERROR(__xludf.DUMMYFUNCTION("""COMPUTED_VALUE"""),8.2437556E8)</f>
        <v>824375560</v>
      </c>
      <c r="H70" s="82">
        <f>IFERROR(__xludf.DUMMYFUNCTION("""COMPUTED_VALUE"""),2.700185886E9)</f>
        <v>2700185886</v>
      </c>
      <c r="I70" s="83" t="str">
        <f>IFERROR(__xludf.DUMMYFUNCTION("""COMPUTED_VALUE"""),"Margate CC")</f>
        <v>Margate CC</v>
      </c>
      <c r="J70" s="81">
        <f>IFERROR(__xludf.DUMMYFUNCTION("""COMPUTED_VALUE"""),45934.0)</f>
        <v>45934</v>
      </c>
      <c r="K70" s="85">
        <f>IFERROR(__xludf.DUMMYFUNCTION("""COMPUTED_VALUE"""),1.0)</f>
        <v>1</v>
      </c>
      <c r="L70" s="86" t="b">
        <f>IFERROR(__xludf.DUMMYFUNCTION("""COMPUTED_VALUE"""),FALSE)</f>
        <v>0</v>
      </c>
      <c r="M70" s="86" t="b">
        <f>IFERROR(__xludf.DUMMYFUNCTION("""COMPUTED_VALUE"""),FALSE)</f>
        <v>0</v>
      </c>
      <c r="N70" s="86" t="b">
        <f>IFERROR(__xludf.DUMMYFUNCTION("""COMPUTED_VALUE"""),FALSE)</f>
        <v>0</v>
      </c>
      <c r="O70" s="86" t="b">
        <f>IFERROR(__xludf.DUMMYFUNCTION("""COMPUTED_VALUE"""),FALSE)</f>
        <v>0</v>
      </c>
      <c r="P70" s="86" t="b">
        <f>IFERROR(__xludf.DUMMYFUNCTION("""COMPUTED_VALUE"""),FALSE)</f>
        <v>0</v>
      </c>
      <c r="Q70" s="86" t="b">
        <f>IFERROR(__xludf.DUMMYFUNCTION("""COMPUTED_VALUE"""),FALSE)</f>
        <v>0</v>
      </c>
      <c r="R70" s="87" t="b">
        <f>IFERROR(__xludf.DUMMYFUNCTION("""COMPUTED_VALUE"""),FALSE)</f>
        <v>0</v>
      </c>
      <c r="S70" s="87"/>
      <c r="T70" s="87"/>
      <c r="U70" s="87"/>
      <c r="V70" s="87"/>
    </row>
    <row r="71">
      <c r="A71" s="79" t="str">
        <f>IFERROR(__xludf.DUMMYFUNCTION("""COMPUTED_VALUE"""),"Pietersen")</f>
        <v>Pietersen</v>
      </c>
      <c r="B71" s="79" t="str">
        <f>IFERROR(__xludf.DUMMYFUNCTION("""COMPUTED_VALUE"""),"Martin")</f>
        <v>Martin</v>
      </c>
      <c r="C71" s="80" t="str">
        <f>IFERROR(__xludf.DUMMYFUNCTION("""COMPUTED_VALUE"""),"LSC")</f>
        <v>LSC</v>
      </c>
      <c r="D71" s="81">
        <f>IFERROR(__xludf.DUMMYFUNCTION("""COMPUTED_VALUE"""),21899.0)</f>
        <v>21899</v>
      </c>
      <c r="E71" s="82">
        <f>IFERROR(__xludf.DUMMYFUNCTION("""COMPUTED_VALUE"""),66.0)</f>
        <v>66</v>
      </c>
      <c r="F71" s="83" t="str">
        <f>IFERROR(__xludf.DUMMYFUNCTION("""COMPUTED_VALUE"""),"pieterwm50@gmail.com")</f>
        <v>pieterwm50@gmail.com</v>
      </c>
      <c r="G71" s="84">
        <f>IFERROR(__xludf.DUMMYFUNCTION("""COMPUTED_VALUE"""),8.2826506E8)</f>
        <v>828265060</v>
      </c>
      <c r="H71" s="82">
        <f>IFERROR(__xludf.DUMMYFUNCTION("""COMPUTED_VALUE"""),2.700282009E9)</f>
        <v>2700282009</v>
      </c>
      <c r="I71" s="83" t="str">
        <f>IFERROR(__xludf.DUMMYFUNCTION("""COMPUTED_VALUE"""),"Port Edward CC")</f>
        <v>Port Edward CC</v>
      </c>
      <c r="J71" s="81">
        <f>IFERROR(__xludf.DUMMYFUNCTION("""COMPUTED_VALUE"""),46051.0)</f>
        <v>46051</v>
      </c>
      <c r="K71" s="85">
        <f>IFERROR(__xludf.DUMMYFUNCTION("""COMPUTED_VALUE"""),0.0)</f>
        <v>0</v>
      </c>
      <c r="L71" s="86" t="b">
        <f>IFERROR(__xludf.DUMMYFUNCTION("""COMPUTED_VALUE"""),FALSE)</f>
        <v>0</v>
      </c>
      <c r="M71" s="86" t="b">
        <f>IFERROR(__xludf.DUMMYFUNCTION("""COMPUTED_VALUE"""),FALSE)</f>
        <v>0</v>
      </c>
      <c r="N71" s="86" t="b">
        <f>IFERROR(__xludf.DUMMYFUNCTION("""COMPUTED_VALUE"""),FALSE)</f>
        <v>0</v>
      </c>
      <c r="O71" s="86" t="b">
        <f>IFERROR(__xludf.DUMMYFUNCTION("""COMPUTED_VALUE"""),FALSE)</f>
        <v>0</v>
      </c>
      <c r="P71" s="86" t="b">
        <f>IFERROR(__xludf.DUMMYFUNCTION("""COMPUTED_VALUE"""),FALSE)</f>
        <v>0</v>
      </c>
      <c r="Q71" s="86" t="b">
        <f>IFERROR(__xludf.DUMMYFUNCTION("""COMPUTED_VALUE"""),FALSE)</f>
        <v>0</v>
      </c>
      <c r="R71" s="87" t="b">
        <f>IFERROR(__xludf.DUMMYFUNCTION("""COMPUTED_VALUE"""),FALSE)</f>
        <v>0</v>
      </c>
      <c r="S71" s="87"/>
      <c r="T71" s="87"/>
      <c r="U71" s="87"/>
      <c r="V71" s="87"/>
    </row>
    <row r="72">
      <c r="A72" s="79" t="str">
        <f>IFERROR(__xludf.DUMMYFUNCTION("""COMPUTED_VALUE"""),"Potts")</f>
        <v>Potts</v>
      </c>
      <c r="B72" s="79" t="str">
        <f>IFERROR(__xludf.DUMMYFUNCTION("""COMPUTED_VALUE"""),"Des")</f>
        <v>Des</v>
      </c>
      <c r="C72" s="80" t="str">
        <f>IFERROR(__xludf.DUMMYFUNCTION("""COMPUTED_VALUE"""),"LSC")</f>
        <v>LSC</v>
      </c>
      <c r="D72" s="81"/>
      <c r="E72" s="82"/>
      <c r="F72" s="83"/>
      <c r="G72" s="84">
        <f>IFERROR(__xludf.DUMMYFUNCTION("""COMPUTED_VALUE"""),8.2556656E8)</f>
        <v>825566560</v>
      </c>
      <c r="H72" s="82">
        <f>IFERROR(__xludf.DUMMYFUNCTION("""COMPUTED_VALUE"""),2.700325903E9)</f>
        <v>2700325903</v>
      </c>
      <c r="I72" s="83" t="str">
        <f>IFERROR(__xludf.DUMMYFUNCTION("""COMPUTED_VALUE"""),"Margate CC")</f>
        <v>Margate CC</v>
      </c>
      <c r="J72" s="81">
        <f>IFERROR(__xludf.DUMMYFUNCTION("""COMPUTED_VALUE"""),46033.0)</f>
        <v>46033</v>
      </c>
      <c r="K72" s="85">
        <f>IFERROR(__xludf.DUMMYFUNCTION("""COMPUTED_VALUE"""),0.0)</f>
        <v>0</v>
      </c>
      <c r="L72" s="86" t="b">
        <f>IFERROR(__xludf.DUMMYFUNCTION("""COMPUTED_VALUE"""),FALSE)</f>
        <v>0</v>
      </c>
      <c r="M72" s="86" t="b">
        <f>IFERROR(__xludf.DUMMYFUNCTION("""COMPUTED_VALUE"""),FALSE)</f>
        <v>0</v>
      </c>
      <c r="N72" s="86" t="b">
        <f>IFERROR(__xludf.DUMMYFUNCTION("""COMPUTED_VALUE"""),FALSE)</f>
        <v>0</v>
      </c>
      <c r="O72" s="86" t="b">
        <f>IFERROR(__xludf.DUMMYFUNCTION("""COMPUTED_VALUE"""),FALSE)</f>
        <v>0</v>
      </c>
      <c r="P72" s="86" t="b">
        <f>IFERROR(__xludf.DUMMYFUNCTION("""COMPUTED_VALUE"""),FALSE)</f>
        <v>0</v>
      </c>
      <c r="Q72" s="86" t="b">
        <f>IFERROR(__xludf.DUMMYFUNCTION("""COMPUTED_VALUE"""),FALSE)</f>
        <v>0</v>
      </c>
      <c r="R72" s="87" t="b">
        <f>IFERROR(__xludf.DUMMYFUNCTION("""COMPUTED_VALUE"""),FALSE)</f>
        <v>0</v>
      </c>
      <c r="S72" s="87"/>
      <c r="T72" s="87"/>
      <c r="U72" s="87"/>
      <c r="V72" s="87"/>
    </row>
    <row r="73">
      <c r="A73" s="79" t="str">
        <f>IFERROR(__xludf.DUMMYFUNCTION("""COMPUTED_VALUE"""),"Rheeder")</f>
        <v>Rheeder</v>
      </c>
      <c r="B73" s="79" t="str">
        <f>IFERROR(__xludf.DUMMYFUNCTION("""COMPUTED_VALUE"""),"Roy")</f>
        <v>Roy</v>
      </c>
      <c r="C73" s="80" t="str">
        <f>IFERROR(__xludf.DUMMYFUNCTION("""COMPUTED_VALUE"""),"LSC")</f>
        <v>LSC</v>
      </c>
      <c r="D73" s="81">
        <f>IFERROR(__xludf.DUMMYFUNCTION("""COMPUTED_VALUE"""),21034.0)</f>
        <v>21034</v>
      </c>
      <c r="E73" s="82">
        <f>IFERROR(__xludf.DUMMYFUNCTION("""COMPUTED_VALUE"""),69.0)</f>
        <v>69</v>
      </c>
      <c r="F73" s="83" t="str">
        <f>IFERROR(__xludf.DUMMYFUNCTION("""COMPUTED_VALUE"""),"rrheeder@icloud.com")</f>
        <v>rrheeder@icloud.com</v>
      </c>
      <c r="G73" s="84">
        <f>IFERROR(__xludf.DUMMYFUNCTION("""COMPUTED_VALUE"""),8.25587999E8)</f>
        <v>825587999</v>
      </c>
      <c r="H73" s="82">
        <f>IFERROR(__xludf.DUMMYFUNCTION("""COMPUTED_VALUE"""),2.700110229E9)</f>
        <v>2700110229</v>
      </c>
      <c r="I73" s="83" t="str">
        <f>IFERROR(__xludf.DUMMYFUNCTION("""COMPUTED_VALUE"""),"Margate CC")</f>
        <v>Margate CC</v>
      </c>
      <c r="J73" s="81"/>
      <c r="K73" s="85">
        <f>IFERROR(__xludf.DUMMYFUNCTION("""COMPUTED_VALUE"""),127.0)</f>
        <v>127</v>
      </c>
      <c r="L73" s="86" t="b">
        <f>IFERROR(__xludf.DUMMYFUNCTION("""COMPUTED_VALUE"""),FALSE)</f>
        <v>0</v>
      </c>
      <c r="M73" s="86" t="b">
        <f>IFERROR(__xludf.DUMMYFUNCTION("""COMPUTED_VALUE"""),FALSE)</f>
        <v>0</v>
      </c>
      <c r="N73" s="86" t="b">
        <f>IFERROR(__xludf.DUMMYFUNCTION("""COMPUTED_VALUE"""),FALSE)</f>
        <v>0</v>
      </c>
      <c r="O73" s="86" t="b">
        <f>IFERROR(__xludf.DUMMYFUNCTION("""COMPUTED_VALUE"""),FALSE)</f>
        <v>0</v>
      </c>
      <c r="P73" s="86" t="b">
        <f>IFERROR(__xludf.DUMMYFUNCTION("""COMPUTED_VALUE"""),FALSE)</f>
        <v>0</v>
      </c>
      <c r="Q73" s="86" t="b">
        <f>IFERROR(__xludf.DUMMYFUNCTION("""COMPUTED_VALUE"""),FALSE)</f>
        <v>0</v>
      </c>
      <c r="R73" s="87" t="b">
        <f>IFERROR(__xludf.DUMMYFUNCTION("""COMPUTED_VALUE"""),FALSE)</f>
        <v>0</v>
      </c>
      <c r="S73" s="87"/>
      <c r="T73" s="87"/>
      <c r="U73" s="87"/>
      <c r="V73" s="87"/>
    </row>
    <row r="74">
      <c r="A74" s="79" t="str">
        <f>IFERROR(__xludf.DUMMYFUNCTION("""COMPUTED_VALUE"""),"Senekal")</f>
        <v>Senekal</v>
      </c>
      <c r="B74" s="79" t="str">
        <f>IFERROR(__xludf.DUMMYFUNCTION("""COMPUTED_VALUE"""),"Steve")</f>
        <v>Steve</v>
      </c>
      <c r="C74" s="80" t="str">
        <f>IFERROR(__xludf.DUMMYFUNCTION("""COMPUTED_VALUE"""),"LSC")</f>
        <v>LSC</v>
      </c>
      <c r="D74" s="81">
        <f>IFERROR(__xludf.DUMMYFUNCTION("""COMPUTED_VALUE"""),20286.0)</f>
        <v>20286</v>
      </c>
      <c r="E74" s="82">
        <f>IFERROR(__xludf.DUMMYFUNCTION("""COMPUTED_VALUE"""),71.0)</f>
        <v>71</v>
      </c>
      <c r="F74" s="83" t="str">
        <f>IFERROR(__xludf.DUMMYFUNCTION("""COMPUTED_VALUE"""),"sssport@mweb.coza")</f>
        <v>sssport@mweb.coza</v>
      </c>
      <c r="G74" s="84">
        <f>IFERROR(__xludf.DUMMYFUNCTION("""COMPUTED_VALUE"""),8.32820352E8)</f>
        <v>832820352</v>
      </c>
      <c r="H74" s="82">
        <f>IFERROR(__xludf.DUMMYFUNCTION("""COMPUTED_VALUE"""),2.700093567E9)</f>
        <v>2700093567</v>
      </c>
      <c r="I74" s="83" t="str">
        <f>IFERROR(__xludf.DUMMYFUNCTION("""COMPUTED_VALUE"""),"Zwartkop CC")</f>
        <v>Zwartkop CC</v>
      </c>
      <c r="J74" s="81"/>
      <c r="K74" s="85">
        <f>IFERROR(__xludf.DUMMYFUNCTION("""COMPUTED_VALUE"""),127.0)</f>
        <v>127</v>
      </c>
      <c r="L74" s="86" t="b">
        <f>IFERROR(__xludf.DUMMYFUNCTION("""COMPUTED_VALUE"""),FALSE)</f>
        <v>0</v>
      </c>
      <c r="M74" s="86" t="b">
        <f>IFERROR(__xludf.DUMMYFUNCTION("""COMPUTED_VALUE"""),FALSE)</f>
        <v>0</v>
      </c>
      <c r="N74" s="86" t="b">
        <f>IFERROR(__xludf.DUMMYFUNCTION("""COMPUTED_VALUE"""),FALSE)</f>
        <v>0</v>
      </c>
      <c r="O74" s="86" t="b">
        <f>IFERROR(__xludf.DUMMYFUNCTION("""COMPUTED_VALUE"""),FALSE)</f>
        <v>0</v>
      </c>
      <c r="P74" s="86" t="b">
        <f>IFERROR(__xludf.DUMMYFUNCTION("""COMPUTED_VALUE"""),FALSE)</f>
        <v>0</v>
      </c>
      <c r="Q74" s="86" t="b">
        <f>IFERROR(__xludf.DUMMYFUNCTION("""COMPUTED_VALUE"""),FALSE)</f>
        <v>0</v>
      </c>
      <c r="R74" s="87" t="b">
        <f>IFERROR(__xludf.DUMMYFUNCTION("""COMPUTED_VALUE"""),FALSE)</f>
        <v>0</v>
      </c>
      <c r="S74" s="87"/>
      <c r="T74" s="87"/>
      <c r="U74" s="87"/>
      <c r="V74" s="87"/>
    </row>
    <row r="75">
      <c r="A75" s="79" t="str">
        <f>IFERROR(__xludf.DUMMYFUNCTION("""COMPUTED_VALUE"""),"Sleep")</f>
        <v>Sleep</v>
      </c>
      <c r="B75" s="79" t="str">
        <f>IFERROR(__xludf.DUMMYFUNCTION("""COMPUTED_VALUE"""),"Dave")</f>
        <v>Dave</v>
      </c>
      <c r="C75" s="80" t="str">
        <f>IFERROR(__xludf.DUMMYFUNCTION("""COMPUTED_VALUE"""),"LSC")</f>
        <v>LSC</v>
      </c>
      <c r="D75" s="81">
        <f>IFERROR(__xludf.DUMMYFUNCTION("""COMPUTED_VALUE"""),24597.0)</f>
        <v>24597</v>
      </c>
      <c r="E75" s="82">
        <f>IFERROR(__xludf.DUMMYFUNCTION("""COMPUTED_VALUE"""),59.0)</f>
        <v>59</v>
      </c>
      <c r="F75" s="83" t="str">
        <f>IFERROR(__xludf.DUMMYFUNCTION("""COMPUTED_VALUE"""),"dave@tradav.co.za")</f>
        <v>dave@tradav.co.za</v>
      </c>
      <c r="G75" s="84">
        <f>IFERROR(__xludf.DUMMYFUNCTION("""COMPUTED_VALUE"""),2.450434E7)</f>
        <v>24504340</v>
      </c>
      <c r="H75" s="82">
        <f>IFERROR(__xludf.DUMMYFUNCTION("""COMPUTED_VALUE"""),2.700068833E9)</f>
        <v>2700068833</v>
      </c>
      <c r="I75" s="83" t="str">
        <f>IFERROR(__xludf.DUMMYFUNCTION("""COMPUTED_VALUE"""),"Margate CC")</f>
        <v>Margate CC</v>
      </c>
      <c r="J75" s="81">
        <f>IFERROR(__xludf.DUMMYFUNCTION("""COMPUTED_VALUE"""),46048.0)</f>
        <v>46048</v>
      </c>
      <c r="K75" s="85">
        <f>IFERROR(__xludf.DUMMYFUNCTION("""COMPUTED_VALUE"""),0.0)</f>
        <v>0</v>
      </c>
      <c r="L75" s="86" t="b">
        <f>IFERROR(__xludf.DUMMYFUNCTION("""COMPUTED_VALUE"""),FALSE)</f>
        <v>0</v>
      </c>
      <c r="M75" s="86" t="b">
        <f>IFERROR(__xludf.DUMMYFUNCTION("""COMPUTED_VALUE"""),FALSE)</f>
        <v>0</v>
      </c>
      <c r="N75" s="86" t="b">
        <f>IFERROR(__xludf.DUMMYFUNCTION("""COMPUTED_VALUE"""),FALSE)</f>
        <v>0</v>
      </c>
      <c r="O75" s="86" t="b">
        <f>IFERROR(__xludf.DUMMYFUNCTION("""COMPUTED_VALUE"""),FALSE)</f>
        <v>0</v>
      </c>
      <c r="P75" s="86" t="b">
        <f>IFERROR(__xludf.DUMMYFUNCTION("""COMPUTED_VALUE"""),FALSE)</f>
        <v>0</v>
      </c>
      <c r="Q75" s="86" t="b">
        <f>IFERROR(__xludf.DUMMYFUNCTION("""COMPUTED_VALUE"""),FALSE)</f>
        <v>0</v>
      </c>
      <c r="R75" s="87" t="b">
        <f>IFERROR(__xludf.DUMMYFUNCTION("""COMPUTED_VALUE"""),FALSE)</f>
        <v>0</v>
      </c>
      <c r="S75" s="87"/>
      <c r="T75" s="87"/>
      <c r="U75" s="87"/>
      <c r="V75" s="87"/>
    </row>
    <row r="76">
      <c r="A76" s="79" t="str">
        <f>IFERROR(__xludf.DUMMYFUNCTION("""COMPUTED_VALUE"""),"Smit")</f>
        <v>Smit</v>
      </c>
      <c r="B76" s="79" t="str">
        <f>IFERROR(__xludf.DUMMYFUNCTION("""COMPUTED_VALUE"""),"Louis")</f>
        <v>Louis</v>
      </c>
      <c r="C76" s="80" t="str">
        <f>IFERROR(__xludf.DUMMYFUNCTION("""COMPUTED_VALUE"""),"LSC")</f>
        <v>LSC</v>
      </c>
      <c r="D76" s="81">
        <f>IFERROR(__xludf.DUMMYFUNCTION("""COMPUTED_VALUE"""),21275.0)</f>
        <v>21275</v>
      </c>
      <c r="E76" s="82">
        <f>IFERROR(__xludf.DUMMYFUNCTION("""COMPUTED_VALUE"""),68.0)</f>
        <v>68</v>
      </c>
      <c r="F76" s="83" t="str">
        <f>IFERROR(__xludf.DUMMYFUNCTION("""COMPUTED_VALUE"""),"louissmit11@yahoo.com")</f>
        <v>louissmit11@yahoo.com</v>
      </c>
      <c r="G76" s="84">
        <f>IFERROR(__xludf.DUMMYFUNCTION("""COMPUTED_VALUE"""),8.32691461E8)</f>
        <v>832691461</v>
      </c>
      <c r="H76" s="82">
        <f>IFERROR(__xludf.DUMMYFUNCTION("""COMPUTED_VALUE"""),2.70010247E9)</f>
        <v>2700102470</v>
      </c>
      <c r="I76" s="83" t="str">
        <f>IFERROR(__xludf.DUMMYFUNCTION("""COMPUTED_VALUE"""),"Port Edward CC")</f>
        <v>Port Edward CC</v>
      </c>
      <c r="J76" s="81"/>
      <c r="K76" s="85">
        <f>IFERROR(__xludf.DUMMYFUNCTION("""COMPUTED_VALUE"""),127.0)</f>
        <v>127</v>
      </c>
      <c r="L76" s="86" t="b">
        <f>IFERROR(__xludf.DUMMYFUNCTION("""COMPUTED_VALUE"""),FALSE)</f>
        <v>0</v>
      </c>
      <c r="M76" s="86" t="b">
        <f>IFERROR(__xludf.DUMMYFUNCTION("""COMPUTED_VALUE"""),FALSE)</f>
        <v>0</v>
      </c>
      <c r="N76" s="86" t="b">
        <f>IFERROR(__xludf.DUMMYFUNCTION("""COMPUTED_VALUE"""),FALSE)</f>
        <v>0</v>
      </c>
      <c r="O76" s="86" t="b">
        <f>IFERROR(__xludf.DUMMYFUNCTION("""COMPUTED_VALUE"""),FALSE)</f>
        <v>0</v>
      </c>
      <c r="P76" s="86" t="b">
        <f>IFERROR(__xludf.DUMMYFUNCTION("""COMPUTED_VALUE"""),FALSE)</f>
        <v>0</v>
      </c>
      <c r="Q76" s="86" t="b">
        <f>IFERROR(__xludf.DUMMYFUNCTION("""COMPUTED_VALUE"""),FALSE)</f>
        <v>0</v>
      </c>
      <c r="R76" s="87" t="b">
        <f>IFERROR(__xludf.DUMMYFUNCTION("""COMPUTED_VALUE"""),FALSE)</f>
        <v>0</v>
      </c>
      <c r="S76" s="87"/>
      <c r="T76" s="87"/>
      <c r="U76" s="87"/>
      <c r="V76" s="87"/>
    </row>
    <row r="77">
      <c r="A77" s="79" t="str">
        <f>IFERROR(__xludf.DUMMYFUNCTION("""COMPUTED_VALUE"""),"Smith")</f>
        <v>Smith</v>
      </c>
      <c r="B77" s="79" t="str">
        <f>IFERROR(__xludf.DUMMYFUNCTION("""COMPUTED_VALUE"""),"Mike")</f>
        <v>Mike</v>
      </c>
      <c r="C77" s="80" t="str">
        <f>IFERROR(__xludf.DUMMYFUNCTION("""COMPUTED_VALUE"""),"LSC")</f>
        <v>LSC</v>
      </c>
      <c r="D77" s="81">
        <f>IFERROR(__xludf.DUMMYFUNCTION("""COMPUTED_VALUE"""),21359.0)</f>
        <v>21359</v>
      </c>
      <c r="E77" s="82">
        <f>IFERROR(__xludf.DUMMYFUNCTION("""COMPUTED_VALUE"""),68.0)</f>
        <v>68</v>
      </c>
      <c r="F77" s="83" t="str">
        <f>IFERROR(__xludf.DUMMYFUNCTION("""COMPUTED_VALUE"""),"mrbsmith@mweb.co.za")</f>
        <v>mrbsmith@mweb.co.za</v>
      </c>
      <c r="G77" s="84">
        <f>IFERROR(__xludf.DUMMYFUNCTION("""COMPUTED_VALUE"""),8.24640309E8)</f>
        <v>824640309</v>
      </c>
      <c r="H77" s="82">
        <f>IFERROR(__xludf.DUMMYFUNCTION("""COMPUTED_VALUE"""),2.700322288E9)</f>
        <v>2700322288</v>
      </c>
      <c r="I77" s="83" t="str">
        <f>IFERROR(__xludf.DUMMYFUNCTION("""COMPUTED_VALUE"""),"Port Edward CC")</f>
        <v>Port Edward CC</v>
      </c>
      <c r="J77" s="81"/>
      <c r="K77" s="85">
        <f>IFERROR(__xludf.DUMMYFUNCTION("""COMPUTED_VALUE"""),127.0)</f>
        <v>127</v>
      </c>
      <c r="L77" s="86" t="b">
        <f>IFERROR(__xludf.DUMMYFUNCTION("""COMPUTED_VALUE"""),FALSE)</f>
        <v>0</v>
      </c>
      <c r="M77" s="86" t="b">
        <f>IFERROR(__xludf.DUMMYFUNCTION("""COMPUTED_VALUE"""),FALSE)</f>
        <v>0</v>
      </c>
      <c r="N77" s="86" t="b">
        <f>IFERROR(__xludf.DUMMYFUNCTION("""COMPUTED_VALUE"""),FALSE)</f>
        <v>0</v>
      </c>
      <c r="O77" s="86" t="b">
        <f>IFERROR(__xludf.DUMMYFUNCTION("""COMPUTED_VALUE"""),FALSE)</f>
        <v>0</v>
      </c>
      <c r="P77" s="86" t="b">
        <f>IFERROR(__xludf.DUMMYFUNCTION("""COMPUTED_VALUE"""),FALSE)</f>
        <v>0</v>
      </c>
      <c r="Q77" s="86" t="b">
        <f>IFERROR(__xludf.DUMMYFUNCTION("""COMPUTED_VALUE"""),FALSE)</f>
        <v>0</v>
      </c>
      <c r="R77" s="87" t="b">
        <f>IFERROR(__xludf.DUMMYFUNCTION("""COMPUTED_VALUE"""),FALSE)</f>
        <v>0</v>
      </c>
      <c r="S77" s="87"/>
      <c r="T77" s="87"/>
      <c r="U77" s="87"/>
      <c r="V77" s="87"/>
    </row>
    <row r="78">
      <c r="A78" s="79" t="str">
        <f>IFERROR(__xludf.DUMMYFUNCTION("""COMPUTED_VALUE"""),"Snyman")</f>
        <v>Snyman</v>
      </c>
      <c r="B78" s="79" t="str">
        <f>IFERROR(__xludf.DUMMYFUNCTION("""COMPUTED_VALUE"""),"Louise")</f>
        <v>Louise</v>
      </c>
      <c r="C78" s="80" t="str">
        <f>IFERROR(__xludf.DUMMYFUNCTION("""COMPUTED_VALUE"""),"LSC")</f>
        <v>LSC</v>
      </c>
      <c r="D78" s="81">
        <f>IFERROR(__xludf.DUMMYFUNCTION("""COMPUTED_VALUE"""),21854.0)</f>
        <v>21854</v>
      </c>
      <c r="E78" s="82">
        <f>IFERROR(__xludf.DUMMYFUNCTION("""COMPUTED_VALUE"""),66.0)</f>
        <v>66</v>
      </c>
      <c r="F78" s="83" t="str">
        <f>IFERROR(__xludf.DUMMYFUNCTION("""COMPUTED_VALUE"""),"lullubell29@gmail.com")</f>
        <v>lullubell29@gmail.com</v>
      </c>
      <c r="G78" s="84">
        <f>IFERROR(__xludf.DUMMYFUNCTION("""COMPUTED_VALUE"""),8.27386288E8)</f>
        <v>827386288</v>
      </c>
      <c r="H78" s="82">
        <f>IFERROR(__xludf.DUMMYFUNCTION("""COMPUTED_VALUE"""),2.700119378E9)</f>
        <v>2700119378</v>
      </c>
      <c r="I78" s="83" t="str">
        <f>IFERROR(__xludf.DUMMYFUNCTION("""COMPUTED_VALUE"""),"Port Shepstone CC")</f>
        <v>Port Shepstone CC</v>
      </c>
      <c r="J78" s="81"/>
      <c r="K78" s="85">
        <f>IFERROR(__xludf.DUMMYFUNCTION("""COMPUTED_VALUE"""),127.0)</f>
        <v>127</v>
      </c>
      <c r="L78" s="86" t="b">
        <f>IFERROR(__xludf.DUMMYFUNCTION("""COMPUTED_VALUE"""),FALSE)</f>
        <v>0</v>
      </c>
      <c r="M78" s="86" t="b">
        <f>IFERROR(__xludf.DUMMYFUNCTION("""COMPUTED_VALUE"""),FALSE)</f>
        <v>0</v>
      </c>
      <c r="N78" s="86" t="b">
        <f>IFERROR(__xludf.DUMMYFUNCTION("""COMPUTED_VALUE"""),FALSE)</f>
        <v>0</v>
      </c>
      <c r="O78" s="86" t="b">
        <f>IFERROR(__xludf.DUMMYFUNCTION("""COMPUTED_VALUE"""),FALSE)</f>
        <v>0</v>
      </c>
      <c r="P78" s="86" t="b">
        <f>IFERROR(__xludf.DUMMYFUNCTION("""COMPUTED_VALUE"""),TRUE)</f>
        <v>1</v>
      </c>
      <c r="Q78" s="86" t="b">
        <f>IFERROR(__xludf.DUMMYFUNCTION("""COMPUTED_VALUE"""),FALSE)</f>
        <v>0</v>
      </c>
      <c r="R78" s="87" t="b">
        <f>IFERROR(__xludf.DUMMYFUNCTION("""COMPUTED_VALUE"""),FALSE)</f>
        <v>0</v>
      </c>
      <c r="S78" s="87"/>
      <c r="T78" s="87"/>
      <c r="U78" s="87"/>
      <c r="V78" s="87"/>
    </row>
    <row r="79">
      <c r="A79" s="79" t="str">
        <f>IFERROR(__xludf.DUMMYFUNCTION("""COMPUTED_VALUE"""),"Snyman")</f>
        <v>Snyman</v>
      </c>
      <c r="B79" s="79" t="str">
        <f>IFERROR(__xludf.DUMMYFUNCTION("""COMPUTED_VALUE"""),"Piet")</f>
        <v>Piet</v>
      </c>
      <c r="C79" s="80" t="str">
        <f>IFERROR(__xludf.DUMMYFUNCTION("""COMPUTED_VALUE"""),"LSC")</f>
        <v>LSC</v>
      </c>
      <c r="D79" s="81">
        <f>IFERROR(__xludf.DUMMYFUNCTION("""COMPUTED_VALUE"""),21711.0)</f>
        <v>21711</v>
      </c>
      <c r="E79" s="82">
        <f>IFERROR(__xludf.DUMMYFUNCTION("""COMPUTED_VALUE"""),67.0)</f>
        <v>67</v>
      </c>
      <c r="F79" s="83" t="str">
        <f>IFERROR(__xludf.DUMMYFUNCTION("""COMPUTED_VALUE"""),"snymanpiet4@gmail.com")</f>
        <v>snymanpiet4@gmail.com</v>
      </c>
      <c r="G79" s="84">
        <f>IFERROR(__xludf.DUMMYFUNCTION("""COMPUTED_VALUE"""),8.39891801E8)</f>
        <v>839891801</v>
      </c>
      <c r="H79" s="82">
        <f>IFERROR(__xludf.DUMMYFUNCTION("""COMPUTED_VALUE"""),2.700110628E9)</f>
        <v>2700110628</v>
      </c>
      <c r="I79" s="83" t="str">
        <f>IFERROR(__xludf.DUMMYFUNCTION("""COMPUTED_VALUE"""),"Port Shepstone CC")</f>
        <v>Port Shepstone CC</v>
      </c>
      <c r="J79" s="81"/>
      <c r="K79" s="85">
        <f>IFERROR(__xludf.DUMMYFUNCTION("""COMPUTED_VALUE"""),127.0)</f>
        <v>127</v>
      </c>
      <c r="L79" s="86" t="b">
        <f>IFERROR(__xludf.DUMMYFUNCTION("""COMPUTED_VALUE"""),FALSE)</f>
        <v>0</v>
      </c>
      <c r="M79" s="86" t="b">
        <f>IFERROR(__xludf.DUMMYFUNCTION("""COMPUTED_VALUE"""),FALSE)</f>
        <v>0</v>
      </c>
      <c r="N79" s="86" t="b">
        <f>IFERROR(__xludf.DUMMYFUNCTION("""COMPUTED_VALUE"""),FALSE)</f>
        <v>0</v>
      </c>
      <c r="O79" s="86" t="b">
        <f>IFERROR(__xludf.DUMMYFUNCTION("""COMPUTED_VALUE"""),FALSE)</f>
        <v>0</v>
      </c>
      <c r="P79" s="86" t="b">
        <f>IFERROR(__xludf.DUMMYFUNCTION("""COMPUTED_VALUE"""),FALSE)</f>
        <v>0</v>
      </c>
      <c r="Q79" s="86" t="b">
        <f>IFERROR(__xludf.DUMMYFUNCTION("""COMPUTED_VALUE"""),FALSE)</f>
        <v>0</v>
      </c>
      <c r="R79" s="87" t="b">
        <f>IFERROR(__xludf.DUMMYFUNCTION("""COMPUTED_VALUE"""),FALSE)</f>
        <v>0</v>
      </c>
      <c r="S79" s="87"/>
      <c r="T79" s="87"/>
      <c r="U79" s="87"/>
      <c r="V79" s="87"/>
    </row>
    <row r="80">
      <c r="A80" s="79" t="str">
        <f>IFERROR(__xludf.DUMMYFUNCTION("""COMPUTED_VALUE"""),"Strickland")</f>
        <v>Strickland</v>
      </c>
      <c r="B80" s="79" t="str">
        <f>IFERROR(__xludf.DUMMYFUNCTION("""COMPUTED_VALUE"""),"Hugh")</f>
        <v>Hugh</v>
      </c>
      <c r="C80" s="80" t="str">
        <f>IFERROR(__xludf.DUMMYFUNCTION("""COMPUTED_VALUE"""),"LSC")</f>
        <v>LSC</v>
      </c>
      <c r="D80" s="81">
        <f>IFERROR(__xludf.DUMMYFUNCTION("""COMPUTED_VALUE"""),24619.0)</f>
        <v>24619</v>
      </c>
      <c r="E80" s="82">
        <f>IFERROR(__xludf.DUMMYFUNCTION("""COMPUTED_VALUE"""),59.0)</f>
        <v>59</v>
      </c>
      <c r="F80" s="83" t="str">
        <f>IFERROR(__xludf.DUMMYFUNCTION("""COMPUTED_VALUE"""),"hugh@strickland.co.za")</f>
        <v>hugh@strickland.co.za</v>
      </c>
      <c r="G80" s="84">
        <f>IFERROR(__xludf.DUMMYFUNCTION("""COMPUTED_VALUE"""),8.24963338E8)</f>
        <v>824963338</v>
      </c>
      <c r="H80" s="82">
        <f>IFERROR(__xludf.DUMMYFUNCTION("""COMPUTED_VALUE"""),2.700104455E9)</f>
        <v>2700104455</v>
      </c>
      <c r="I80" s="83" t="str">
        <f>IFERROR(__xludf.DUMMYFUNCTION("""COMPUTED_VALUE"""),"Margate CC")</f>
        <v>Margate CC</v>
      </c>
      <c r="J80" s="81">
        <f>IFERROR(__xludf.DUMMYFUNCTION("""COMPUTED_VALUE"""),46048.0)</f>
        <v>46048</v>
      </c>
      <c r="K80" s="85">
        <f>IFERROR(__xludf.DUMMYFUNCTION("""COMPUTED_VALUE"""),0.0)</f>
        <v>0</v>
      </c>
      <c r="L80" s="86" t="b">
        <f>IFERROR(__xludf.DUMMYFUNCTION("""COMPUTED_VALUE"""),FALSE)</f>
        <v>0</v>
      </c>
      <c r="M80" s="86" t="b">
        <f>IFERROR(__xludf.DUMMYFUNCTION("""COMPUTED_VALUE"""),FALSE)</f>
        <v>0</v>
      </c>
      <c r="N80" s="86" t="b">
        <f>IFERROR(__xludf.DUMMYFUNCTION("""COMPUTED_VALUE"""),FALSE)</f>
        <v>0</v>
      </c>
      <c r="O80" s="86" t="b">
        <f>IFERROR(__xludf.DUMMYFUNCTION("""COMPUTED_VALUE"""),FALSE)</f>
        <v>0</v>
      </c>
      <c r="P80" s="86" t="b">
        <f>IFERROR(__xludf.DUMMYFUNCTION("""COMPUTED_VALUE"""),FALSE)</f>
        <v>0</v>
      </c>
      <c r="Q80" s="86" t="b">
        <f>IFERROR(__xludf.DUMMYFUNCTION("""COMPUTED_VALUE"""),FALSE)</f>
        <v>0</v>
      </c>
      <c r="R80" s="87" t="b">
        <f>IFERROR(__xludf.DUMMYFUNCTION("""COMPUTED_VALUE"""),FALSE)</f>
        <v>0</v>
      </c>
      <c r="S80" s="87"/>
      <c r="T80" s="87"/>
      <c r="U80" s="87"/>
      <c r="V80" s="87"/>
    </row>
    <row r="81">
      <c r="A81" s="79" t="str">
        <f>IFERROR(__xludf.DUMMYFUNCTION("""COMPUTED_VALUE"""),"Tarr")</f>
        <v>Tarr</v>
      </c>
      <c r="B81" s="79" t="str">
        <f>IFERROR(__xludf.DUMMYFUNCTION("""COMPUTED_VALUE"""),"Allen")</f>
        <v>Allen</v>
      </c>
      <c r="C81" s="80" t="str">
        <f>IFERROR(__xludf.DUMMYFUNCTION("""COMPUTED_VALUE"""),"LSC")</f>
        <v>LSC</v>
      </c>
      <c r="D81" s="81">
        <f>IFERROR(__xludf.DUMMYFUNCTION("""COMPUTED_VALUE"""),22814.0)</f>
        <v>22814</v>
      </c>
      <c r="E81" s="82">
        <f>IFERROR(__xludf.DUMMYFUNCTION("""COMPUTED_VALUE"""),64.0)</f>
        <v>64</v>
      </c>
      <c r="F81" s="83" t="str">
        <f>IFERROR(__xludf.DUMMYFUNCTION("""COMPUTED_VALUE"""),"allen.tarr62@gmail.com")</f>
        <v>allen.tarr62@gmail.com</v>
      </c>
      <c r="G81" s="84">
        <f>IFERROR(__xludf.DUMMYFUNCTION("""COMPUTED_VALUE"""),8.32645676E8)</f>
        <v>832645676</v>
      </c>
      <c r="H81" s="82">
        <f>IFERROR(__xludf.DUMMYFUNCTION("""COMPUTED_VALUE"""),2.700090314E9)</f>
        <v>2700090314</v>
      </c>
      <c r="I81" s="83" t="str">
        <f>IFERROR(__xludf.DUMMYFUNCTION("""COMPUTED_VALUE"""),"Margate")</f>
        <v>Margate</v>
      </c>
      <c r="J81" s="81">
        <f>IFERROR(__xludf.DUMMYFUNCTION("""COMPUTED_VALUE"""),45447.0)</f>
        <v>45447</v>
      </c>
      <c r="K81" s="85">
        <f>IFERROR(__xludf.DUMMYFUNCTION("""COMPUTED_VALUE"""),2.0)</f>
        <v>2</v>
      </c>
      <c r="L81" s="86" t="b">
        <f>IFERROR(__xludf.DUMMYFUNCTION("""COMPUTED_VALUE"""),FALSE)</f>
        <v>0</v>
      </c>
      <c r="M81" s="86" t="b">
        <f>IFERROR(__xludf.DUMMYFUNCTION("""COMPUTED_VALUE"""),FALSE)</f>
        <v>0</v>
      </c>
      <c r="N81" s="86" t="b">
        <f>IFERROR(__xludf.DUMMYFUNCTION("""COMPUTED_VALUE"""),FALSE)</f>
        <v>0</v>
      </c>
      <c r="O81" s="86" t="b">
        <f>IFERROR(__xludf.DUMMYFUNCTION("""COMPUTED_VALUE"""),FALSE)</f>
        <v>0</v>
      </c>
      <c r="P81" s="86" t="b">
        <f>IFERROR(__xludf.DUMMYFUNCTION("""COMPUTED_VALUE"""),FALSE)</f>
        <v>0</v>
      </c>
      <c r="Q81" s="86" t="b">
        <f>IFERROR(__xludf.DUMMYFUNCTION("""COMPUTED_VALUE"""),FALSE)</f>
        <v>0</v>
      </c>
      <c r="R81" s="87" t="b">
        <f>IFERROR(__xludf.DUMMYFUNCTION("""COMPUTED_VALUE"""),FALSE)</f>
        <v>0</v>
      </c>
      <c r="S81" s="87"/>
      <c r="T81" s="87"/>
      <c r="U81" s="87"/>
      <c r="V81" s="87"/>
    </row>
    <row r="82">
      <c r="A82" s="79" t="str">
        <f>IFERROR(__xludf.DUMMYFUNCTION("""COMPUTED_VALUE"""),"Terry")</f>
        <v>Terry</v>
      </c>
      <c r="B82" s="79" t="str">
        <f>IFERROR(__xludf.DUMMYFUNCTION("""COMPUTED_VALUE"""),"Kevin")</f>
        <v>Kevin</v>
      </c>
      <c r="C82" s="80" t="str">
        <f>IFERROR(__xludf.DUMMYFUNCTION("""COMPUTED_VALUE"""),"LSC")</f>
        <v>LSC</v>
      </c>
      <c r="D82" s="81">
        <f>IFERROR(__xludf.DUMMYFUNCTION("""COMPUTED_VALUE"""),20952.0)</f>
        <v>20952</v>
      </c>
      <c r="E82" s="82">
        <f>IFERROR(__xludf.DUMMYFUNCTION("""COMPUTED_VALUE"""),69.0)</f>
        <v>69</v>
      </c>
      <c r="F82" s="83" t="str">
        <f>IFERROR(__xludf.DUMMYFUNCTION("""COMPUTED_VALUE"""),"kgterry57@gmail.com")</f>
        <v>kgterry57@gmail.com</v>
      </c>
      <c r="G82" s="84">
        <f>IFERROR(__xludf.DUMMYFUNCTION("""COMPUTED_VALUE"""),6.37349432E8)</f>
        <v>637349432</v>
      </c>
      <c r="H82" s="82">
        <f>IFERROR(__xludf.DUMMYFUNCTION("""COMPUTED_VALUE"""),2.700103871E9)</f>
        <v>2700103871</v>
      </c>
      <c r="I82" s="83" t="str">
        <f>IFERROR(__xludf.DUMMYFUNCTION("""COMPUTED_VALUE"""),"Port Edward CC")</f>
        <v>Port Edward CC</v>
      </c>
      <c r="J82" s="81">
        <f>IFERROR(__xludf.DUMMYFUNCTION("""COMPUTED_VALUE"""),46051.0)</f>
        <v>46051</v>
      </c>
      <c r="K82" s="85">
        <f>IFERROR(__xludf.DUMMYFUNCTION("""COMPUTED_VALUE"""),0.0)</f>
        <v>0</v>
      </c>
      <c r="L82" s="86" t="b">
        <f>IFERROR(__xludf.DUMMYFUNCTION("""COMPUTED_VALUE"""),FALSE)</f>
        <v>0</v>
      </c>
      <c r="M82" s="86" t="b">
        <f>IFERROR(__xludf.DUMMYFUNCTION("""COMPUTED_VALUE"""),FALSE)</f>
        <v>0</v>
      </c>
      <c r="N82" s="86" t="b">
        <f>IFERROR(__xludf.DUMMYFUNCTION("""COMPUTED_VALUE"""),FALSE)</f>
        <v>0</v>
      </c>
      <c r="O82" s="86" t="b">
        <f>IFERROR(__xludf.DUMMYFUNCTION("""COMPUTED_VALUE"""),FALSE)</f>
        <v>0</v>
      </c>
      <c r="P82" s="86" t="b">
        <f>IFERROR(__xludf.DUMMYFUNCTION("""COMPUTED_VALUE"""),FALSE)</f>
        <v>0</v>
      </c>
      <c r="Q82" s="86" t="b">
        <f>IFERROR(__xludf.DUMMYFUNCTION("""COMPUTED_VALUE"""),FALSE)</f>
        <v>0</v>
      </c>
      <c r="R82" s="87" t="b">
        <f>IFERROR(__xludf.DUMMYFUNCTION("""COMPUTED_VALUE"""),FALSE)</f>
        <v>0</v>
      </c>
      <c r="S82" s="87"/>
      <c r="T82" s="87"/>
      <c r="U82" s="87"/>
      <c r="V82" s="87"/>
    </row>
    <row r="83">
      <c r="A83" s="79" t="str">
        <f>IFERROR(__xludf.DUMMYFUNCTION("""COMPUTED_VALUE"""),"Theodorou")</f>
        <v>Theodorou</v>
      </c>
      <c r="B83" s="79" t="str">
        <f>IFERROR(__xludf.DUMMYFUNCTION("""COMPUTED_VALUE"""),"Christo")</f>
        <v>Christo</v>
      </c>
      <c r="C83" s="80" t="str">
        <f>IFERROR(__xludf.DUMMYFUNCTION("""COMPUTED_VALUE"""),"LSC")</f>
        <v>LSC</v>
      </c>
      <c r="D83" s="81">
        <f>IFERROR(__xludf.DUMMYFUNCTION("""COMPUTED_VALUE"""),21310.0)</f>
        <v>21310</v>
      </c>
      <c r="E83" s="82">
        <f>IFERROR(__xludf.DUMMYFUNCTION("""COMPUTED_VALUE"""),68.0)</f>
        <v>68</v>
      </c>
      <c r="F83" s="83" t="str">
        <f>IFERROR(__xludf.DUMMYFUNCTION("""COMPUTED_VALUE"""),"christotheodorou1@gmail.com")</f>
        <v>christotheodorou1@gmail.com</v>
      </c>
      <c r="G83" s="84">
        <f>IFERROR(__xludf.DUMMYFUNCTION("""COMPUTED_VALUE"""),8.25548405E8)</f>
        <v>825548405</v>
      </c>
      <c r="H83" s="82">
        <f>IFERROR(__xludf.DUMMYFUNCTION("""COMPUTED_VALUE"""),2.700091691E9)</f>
        <v>2700091691</v>
      </c>
      <c r="I83" s="83" t="str">
        <f>IFERROR(__xludf.DUMMYFUNCTION("""COMPUTED_VALUE"""),"Southbroom GC")</f>
        <v>Southbroom GC</v>
      </c>
      <c r="J83" s="81"/>
      <c r="K83" s="85">
        <f>IFERROR(__xludf.DUMMYFUNCTION("""COMPUTED_VALUE"""),127.0)</f>
        <v>127</v>
      </c>
      <c r="L83" s="86" t="b">
        <f>IFERROR(__xludf.DUMMYFUNCTION("""COMPUTED_VALUE"""),FALSE)</f>
        <v>0</v>
      </c>
      <c r="M83" s="86" t="b">
        <f>IFERROR(__xludf.DUMMYFUNCTION("""COMPUTED_VALUE"""),FALSE)</f>
        <v>0</v>
      </c>
      <c r="N83" s="86" t="b">
        <f>IFERROR(__xludf.DUMMYFUNCTION("""COMPUTED_VALUE"""),FALSE)</f>
        <v>0</v>
      </c>
      <c r="O83" s="86" t="b">
        <f>IFERROR(__xludf.DUMMYFUNCTION("""COMPUTED_VALUE"""),FALSE)</f>
        <v>0</v>
      </c>
      <c r="P83" s="86" t="b">
        <f>IFERROR(__xludf.DUMMYFUNCTION("""COMPUTED_VALUE"""),FALSE)</f>
        <v>0</v>
      </c>
      <c r="Q83" s="86" t="b">
        <f>IFERROR(__xludf.DUMMYFUNCTION("""COMPUTED_VALUE"""),FALSE)</f>
        <v>0</v>
      </c>
      <c r="R83" s="87" t="b">
        <f>IFERROR(__xludf.DUMMYFUNCTION("""COMPUTED_VALUE"""),FALSE)</f>
        <v>0</v>
      </c>
      <c r="S83" s="87"/>
      <c r="T83" s="87"/>
      <c r="U83" s="87"/>
      <c r="V83" s="87"/>
    </row>
    <row r="84">
      <c r="A84" s="79" t="str">
        <f>IFERROR(__xludf.DUMMYFUNCTION("""COMPUTED_VALUE"""),"van Huyssteen")</f>
        <v>van Huyssteen</v>
      </c>
      <c r="B84" s="79" t="str">
        <f>IFERROR(__xludf.DUMMYFUNCTION("""COMPUTED_VALUE"""),"Stefanus")</f>
        <v>Stefanus</v>
      </c>
      <c r="C84" s="80" t="str">
        <f>IFERROR(__xludf.DUMMYFUNCTION("""COMPUTED_VALUE"""),"LSC")</f>
        <v>LSC</v>
      </c>
      <c r="D84" s="81">
        <f>IFERROR(__xludf.DUMMYFUNCTION("""COMPUTED_VALUE"""),20492.0)</f>
        <v>20492</v>
      </c>
      <c r="E84" s="82">
        <f>IFERROR(__xludf.DUMMYFUNCTION("""COMPUTED_VALUE"""),70.0)</f>
        <v>70</v>
      </c>
      <c r="F84" s="83" t="str">
        <f>IFERROR(__xludf.DUMMYFUNCTION("""COMPUTED_VALUE"""),"svh.acc@outlook.com")</f>
        <v>svh.acc@outlook.com</v>
      </c>
      <c r="G84" s="84">
        <f>IFERROR(__xludf.DUMMYFUNCTION("""COMPUTED_VALUE"""),7.2039306E8)</f>
        <v>720393060</v>
      </c>
      <c r="H84" s="82">
        <f>IFERROR(__xludf.DUMMYFUNCTION("""COMPUTED_VALUE"""),2.700464703E9)</f>
        <v>2700464703</v>
      </c>
      <c r="I84" s="83" t="str">
        <f>IFERROR(__xludf.DUMMYFUNCTION("""COMPUTED_VALUE"""),"Oppenheimer Golf Club")</f>
        <v>Oppenheimer Golf Club</v>
      </c>
      <c r="J84" s="81">
        <f>IFERROR(__xludf.DUMMYFUNCTION("""COMPUTED_VALUE"""),46073.0)</f>
        <v>46073</v>
      </c>
      <c r="K84" s="85">
        <f>IFERROR(__xludf.DUMMYFUNCTION("""COMPUTED_VALUE"""),0.0)</f>
        <v>0</v>
      </c>
      <c r="L84" s="86" t="b">
        <f>IFERROR(__xludf.DUMMYFUNCTION("""COMPUTED_VALUE"""),FALSE)</f>
        <v>0</v>
      </c>
      <c r="M84" s="86" t="b">
        <f>IFERROR(__xludf.DUMMYFUNCTION("""COMPUTED_VALUE"""),FALSE)</f>
        <v>0</v>
      </c>
      <c r="N84" s="86" t="b">
        <f>IFERROR(__xludf.DUMMYFUNCTION("""COMPUTED_VALUE"""),FALSE)</f>
        <v>0</v>
      </c>
      <c r="O84" s="86" t="b">
        <f>IFERROR(__xludf.DUMMYFUNCTION("""COMPUTED_VALUE"""),FALSE)</f>
        <v>0</v>
      </c>
      <c r="P84" s="86" t="b">
        <f>IFERROR(__xludf.DUMMYFUNCTION("""COMPUTED_VALUE"""),FALSE)</f>
        <v>0</v>
      </c>
      <c r="Q84" s="86" t="b">
        <f>IFERROR(__xludf.DUMMYFUNCTION("""COMPUTED_VALUE"""),FALSE)</f>
        <v>0</v>
      </c>
      <c r="R84" s="87" t="b">
        <f>IFERROR(__xludf.DUMMYFUNCTION("""COMPUTED_VALUE"""),FALSE)</f>
        <v>0</v>
      </c>
      <c r="S84" s="87"/>
      <c r="T84" s="87"/>
      <c r="U84" s="87"/>
      <c r="V84" s="87"/>
    </row>
    <row r="85">
      <c r="A85" s="79" t="str">
        <f>IFERROR(__xludf.DUMMYFUNCTION("""COMPUTED_VALUE"""),"Van Wyk")</f>
        <v>Van Wyk</v>
      </c>
      <c r="B85" s="79" t="str">
        <f>IFERROR(__xludf.DUMMYFUNCTION("""COMPUTED_VALUE"""),"Gav")</f>
        <v>Gav</v>
      </c>
      <c r="C85" s="80" t="str">
        <f>IFERROR(__xludf.DUMMYFUNCTION("""COMPUTED_VALUE"""),"LSC")</f>
        <v>LSC</v>
      </c>
      <c r="D85" s="81">
        <f>IFERROR(__xludf.DUMMYFUNCTION("""COMPUTED_VALUE"""),21806.0)</f>
        <v>21806</v>
      </c>
      <c r="E85" s="82">
        <f>IFERROR(__xludf.DUMMYFUNCTION("""COMPUTED_VALUE"""),66.0)</f>
        <v>66</v>
      </c>
      <c r="F85" s="83" t="str">
        <f>IFERROR(__xludf.DUMMYFUNCTION("""COMPUTED_VALUE"""),"gavbelindarsa@gmail.com")</f>
        <v>gavbelindarsa@gmail.com</v>
      </c>
      <c r="G85" s="84">
        <f>IFERROR(__xludf.DUMMYFUNCTION("""COMPUTED_VALUE"""),8.32075659E8)</f>
        <v>832075659</v>
      </c>
      <c r="H85" s="82">
        <f>IFERROR(__xludf.DUMMYFUNCTION("""COMPUTED_VALUE"""),2.700071033E9)</f>
        <v>2700071033</v>
      </c>
      <c r="I85" s="83" t="str">
        <f>IFERROR(__xludf.DUMMYFUNCTION("""COMPUTED_VALUE"""),"Port Shepstone CC")</f>
        <v>Port Shepstone CC</v>
      </c>
      <c r="J85" s="81">
        <f>IFERROR(__xludf.DUMMYFUNCTION("""COMPUTED_VALUE"""),45970.0)</f>
        <v>45970</v>
      </c>
      <c r="K85" s="85">
        <f>IFERROR(__xludf.DUMMYFUNCTION("""COMPUTED_VALUE"""),1.0)</f>
        <v>1</v>
      </c>
      <c r="L85" s="86" t="b">
        <f>IFERROR(__xludf.DUMMYFUNCTION("""COMPUTED_VALUE"""),FALSE)</f>
        <v>0</v>
      </c>
      <c r="M85" s="86" t="b">
        <f>IFERROR(__xludf.DUMMYFUNCTION("""COMPUTED_VALUE"""),FALSE)</f>
        <v>0</v>
      </c>
      <c r="N85" s="86" t="b">
        <f>IFERROR(__xludf.DUMMYFUNCTION("""COMPUTED_VALUE"""),FALSE)</f>
        <v>0</v>
      </c>
      <c r="O85" s="86" t="b">
        <f>IFERROR(__xludf.DUMMYFUNCTION("""COMPUTED_VALUE"""),FALSE)</f>
        <v>0</v>
      </c>
      <c r="P85" s="86" t="b">
        <f>IFERROR(__xludf.DUMMYFUNCTION("""COMPUTED_VALUE"""),FALSE)</f>
        <v>0</v>
      </c>
      <c r="Q85" s="86" t="b">
        <f>IFERROR(__xludf.DUMMYFUNCTION("""COMPUTED_VALUE"""),FALSE)</f>
        <v>0</v>
      </c>
      <c r="R85" s="87" t="b">
        <f>IFERROR(__xludf.DUMMYFUNCTION("""COMPUTED_VALUE"""),FALSE)</f>
        <v>0</v>
      </c>
      <c r="S85" s="87"/>
      <c r="T85" s="87"/>
      <c r="U85" s="87"/>
      <c r="V85" s="87"/>
    </row>
    <row r="86">
      <c r="A86" s="79" t="str">
        <f>IFERROR(__xludf.DUMMYFUNCTION("""COMPUTED_VALUE"""),"Venter")</f>
        <v>Venter</v>
      </c>
      <c r="B86" s="79" t="str">
        <f>IFERROR(__xludf.DUMMYFUNCTION("""COMPUTED_VALUE"""),"Johann")</f>
        <v>Johann</v>
      </c>
      <c r="C86" s="80" t="str">
        <f>IFERROR(__xludf.DUMMYFUNCTION("""COMPUTED_VALUE"""),"LSC")</f>
        <v>LSC</v>
      </c>
      <c r="D86" s="81">
        <f>IFERROR(__xludf.DUMMYFUNCTION("""COMPUTED_VALUE"""),19271.0)</f>
        <v>19271</v>
      </c>
      <c r="E86" s="82">
        <f>IFERROR(__xludf.DUMMYFUNCTION("""COMPUTED_VALUE"""),73.0)</f>
        <v>73</v>
      </c>
      <c r="F86" s="83" t="str">
        <f>IFERROR(__xludf.DUMMYFUNCTION("""COMPUTED_VALUE"""),"dp@npshost.co.za")</f>
        <v>dp@npshost.co.za</v>
      </c>
      <c r="G86" s="84">
        <f>IFERROR(__xludf.DUMMYFUNCTION("""COMPUTED_VALUE"""),8.25645678E8)</f>
        <v>825645678</v>
      </c>
      <c r="H86" s="82">
        <f>IFERROR(__xludf.DUMMYFUNCTION("""COMPUTED_VALUE"""),2.700250646E9)</f>
        <v>2700250646</v>
      </c>
      <c r="I86" s="83" t="str">
        <f>IFERROR(__xludf.DUMMYFUNCTION("""COMPUTED_VALUE"""),"Margate CC")</f>
        <v>Margate CC</v>
      </c>
      <c r="J86" s="81">
        <f>IFERROR(__xludf.DUMMYFUNCTION("""COMPUTED_VALUE"""),46056.0)</f>
        <v>46056</v>
      </c>
      <c r="K86" s="85">
        <f>IFERROR(__xludf.DUMMYFUNCTION("""COMPUTED_VALUE"""),0.0)</f>
        <v>0</v>
      </c>
      <c r="L86" s="86" t="b">
        <f>IFERROR(__xludf.DUMMYFUNCTION("""COMPUTED_VALUE"""),FALSE)</f>
        <v>0</v>
      </c>
      <c r="M86" s="86" t="b">
        <f>IFERROR(__xludf.DUMMYFUNCTION("""COMPUTED_VALUE"""),FALSE)</f>
        <v>0</v>
      </c>
      <c r="N86" s="86" t="b">
        <f>IFERROR(__xludf.DUMMYFUNCTION("""COMPUTED_VALUE"""),FALSE)</f>
        <v>0</v>
      </c>
      <c r="O86" s="86" t="b">
        <f>IFERROR(__xludf.DUMMYFUNCTION("""COMPUTED_VALUE"""),FALSE)</f>
        <v>0</v>
      </c>
      <c r="P86" s="86" t="b">
        <f>IFERROR(__xludf.DUMMYFUNCTION("""COMPUTED_VALUE"""),FALSE)</f>
        <v>0</v>
      </c>
      <c r="Q86" s="86" t="b">
        <f>IFERROR(__xludf.DUMMYFUNCTION("""COMPUTED_VALUE"""),FALSE)</f>
        <v>0</v>
      </c>
      <c r="R86" s="87" t="b">
        <f>IFERROR(__xludf.DUMMYFUNCTION("""COMPUTED_VALUE"""),FALSE)</f>
        <v>0</v>
      </c>
      <c r="S86" s="87"/>
      <c r="T86" s="87"/>
      <c r="U86" s="87"/>
      <c r="V86" s="87"/>
    </row>
    <row r="87">
      <c r="A87" s="79" t="str">
        <f>IFERROR(__xludf.DUMMYFUNCTION("""COMPUTED_VALUE"""),"Visagie")</f>
        <v>Visagie</v>
      </c>
      <c r="B87" s="79" t="str">
        <f>IFERROR(__xludf.DUMMYFUNCTION("""COMPUTED_VALUE"""),"Rudi")</f>
        <v>Rudi</v>
      </c>
      <c r="C87" s="80" t="str">
        <f>IFERROR(__xludf.DUMMYFUNCTION("""COMPUTED_VALUE"""),"LSC")</f>
        <v>LSC</v>
      </c>
      <c r="D87" s="81">
        <f>IFERROR(__xludf.DUMMYFUNCTION("""COMPUTED_VALUE"""),21728.0)</f>
        <v>21728</v>
      </c>
      <c r="E87" s="82">
        <f>IFERROR(__xludf.DUMMYFUNCTION("""COMPUTED_VALUE"""),67.0)</f>
        <v>67</v>
      </c>
      <c r="F87" s="83" t="str">
        <f>IFERROR(__xludf.DUMMYFUNCTION("""COMPUTED_VALUE"""),"rudavisagie777@gmail.com")</f>
        <v>rudavisagie777@gmail.com</v>
      </c>
      <c r="G87" s="84">
        <f>IFERROR(__xludf.DUMMYFUNCTION("""COMPUTED_VALUE"""),7.27196521E8)</f>
        <v>727196521</v>
      </c>
      <c r="H87" s="82">
        <f>IFERROR(__xludf.DUMMYFUNCTION("""COMPUTED_VALUE"""),2.700201365E9)</f>
        <v>2700201365</v>
      </c>
      <c r="I87" s="83" t="str">
        <f>IFERROR(__xludf.DUMMYFUNCTION("""COMPUTED_VALUE"""),"Port Shepstone")</f>
        <v>Port Shepstone</v>
      </c>
      <c r="J87" s="81">
        <f>IFERROR(__xludf.DUMMYFUNCTION("""COMPUTED_VALUE"""),45076.0)</f>
        <v>45076</v>
      </c>
      <c r="K87" s="85">
        <f>IFERROR(__xludf.DUMMYFUNCTION("""COMPUTED_VALUE"""),3.0)</f>
        <v>3</v>
      </c>
      <c r="L87" s="86" t="b">
        <f>IFERROR(__xludf.DUMMYFUNCTION("""COMPUTED_VALUE"""),FALSE)</f>
        <v>0</v>
      </c>
      <c r="M87" s="86" t="b">
        <f>IFERROR(__xludf.DUMMYFUNCTION("""COMPUTED_VALUE"""),FALSE)</f>
        <v>0</v>
      </c>
      <c r="N87" s="86" t="b">
        <f>IFERROR(__xludf.DUMMYFUNCTION("""COMPUTED_VALUE"""),FALSE)</f>
        <v>0</v>
      </c>
      <c r="O87" s="86" t="b">
        <f>IFERROR(__xludf.DUMMYFUNCTION("""COMPUTED_VALUE"""),FALSE)</f>
        <v>0</v>
      </c>
      <c r="P87" s="86" t="b">
        <f>IFERROR(__xludf.DUMMYFUNCTION("""COMPUTED_VALUE"""),FALSE)</f>
        <v>0</v>
      </c>
      <c r="Q87" s="86" t="b">
        <f>IFERROR(__xludf.DUMMYFUNCTION("""COMPUTED_VALUE"""),FALSE)</f>
        <v>0</v>
      </c>
      <c r="R87" s="87" t="b">
        <f>IFERROR(__xludf.DUMMYFUNCTION("""COMPUTED_VALUE"""),FALSE)</f>
        <v>0</v>
      </c>
      <c r="S87" s="87"/>
      <c r="T87" s="87"/>
      <c r="U87" s="87"/>
      <c r="V87" s="87"/>
    </row>
    <row r="88">
      <c r="A88" s="79" t="str">
        <f>IFERROR(__xludf.DUMMYFUNCTION("""COMPUTED_VALUE"""),"Weber")</f>
        <v>Weber</v>
      </c>
      <c r="B88" s="79" t="str">
        <f>IFERROR(__xludf.DUMMYFUNCTION("""COMPUTED_VALUE"""),"Sandra")</f>
        <v>Sandra</v>
      </c>
      <c r="C88" s="80" t="str">
        <f>IFERROR(__xludf.DUMMYFUNCTION("""COMPUTED_VALUE"""),"LSC")</f>
        <v>LSC</v>
      </c>
      <c r="D88" s="81">
        <f>IFERROR(__xludf.DUMMYFUNCTION("""COMPUTED_VALUE"""),23445.0)</f>
        <v>23445</v>
      </c>
      <c r="E88" s="82">
        <f>IFERROR(__xludf.DUMMYFUNCTION("""COMPUTED_VALUE"""),62.0)</f>
        <v>62</v>
      </c>
      <c r="F88" s="83" t="str">
        <f>IFERROR(__xludf.DUMMYFUNCTION("""COMPUTED_VALUE"""),"sjweber@mweb.co.za")</f>
        <v>sjweber@mweb.co.za</v>
      </c>
      <c r="G88" s="84">
        <f>IFERROR(__xludf.DUMMYFUNCTION("""COMPUTED_VALUE"""),8.27788628E8)</f>
        <v>827788628</v>
      </c>
      <c r="H88" s="82">
        <f>IFERROR(__xludf.DUMMYFUNCTION("""COMPUTED_VALUE"""),2.700041235E9)</f>
        <v>2700041235</v>
      </c>
      <c r="I88" s="83" t="str">
        <f>IFERROR(__xludf.DUMMYFUNCTION("""COMPUTED_VALUE"""),"Margate CC")</f>
        <v>Margate CC</v>
      </c>
      <c r="J88" s="81"/>
      <c r="K88" s="85">
        <f>IFERROR(__xludf.DUMMYFUNCTION("""COMPUTED_VALUE"""),127.0)</f>
        <v>127</v>
      </c>
      <c r="L88" s="86" t="b">
        <f>IFERROR(__xludf.DUMMYFUNCTION("""COMPUTED_VALUE"""),FALSE)</f>
        <v>0</v>
      </c>
      <c r="M88" s="86" t="b">
        <f>IFERROR(__xludf.DUMMYFUNCTION("""COMPUTED_VALUE"""),FALSE)</f>
        <v>0</v>
      </c>
      <c r="N88" s="86" t="b">
        <f>IFERROR(__xludf.DUMMYFUNCTION("""COMPUTED_VALUE"""),FALSE)</f>
        <v>0</v>
      </c>
      <c r="O88" s="86" t="b">
        <f>IFERROR(__xludf.DUMMYFUNCTION("""COMPUTED_VALUE"""),FALSE)</f>
        <v>0</v>
      </c>
      <c r="P88" s="86" t="b">
        <f>IFERROR(__xludf.DUMMYFUNCTION("""COMPUTED_VALUE"""),TRUE)</f>
        <v>1</v>
      </c>
      <c r="Q88" s="86" t="b">
        <f>IFERROR(__xludf.DUMMYFUNCTION("""COMPUTED_VALUE"""),FALSE)</f>
        <v>0</v>
      </c>
      <c r="R88" s="87" t="b">
        <f>IFERROR(__xludf.DUMMYFUNCTION("""COMPUTED_VALUE"""),FALSE)</f>
        <v>0</v>
      </c>
      <c r="S88" s="87"/>
      <c r="T88" s="87"/>
      <c r="U88" s="87"/>
      <c r="V88" s="87"/>
    </row>
    <row r="89">
      <c r="A89" s="79" t="str">
        <f>IFERROR(__xludf.DUMMYFUNCTION("""COMPUTED_VALUE"""),"Wheatcroft")</f>
        <v>Wheatcroft</v>
      </c>
      <c r="B89" s="79" t="str">
        <f>IFERROR(__xludf.DUMMYFUNCTION("""COMPUTED_VALUE"""),"Brett")</f>
        <v>Brett</v>
      </c>
      <c r="C89" s="80" t="str">
        <f>IFERROR(__xludf.DUMMYFUNCTION("""COMPUTED_VALUE"""),"LSC")</f>
        <v>LSC</v>
      </c>
      <c r="D89" s="81">
        <f>IFERROR(__xludf.DUMMYFUNCTION("""COMPUTED_VALUE"""),25731.0)</f>
        <v>25731</v>
      </c>
      <c r="E89" s="82">
        <f>IFERROR(__xludf.DUMMYFUNCTION("""COMPUTED_VALUE"""),56.0)</f>
        <v>56</v>
      </c>
      <c r="F89" s="83" t="str">
        <f>IFERROR(__xludf.DUMMYFUNCTION("""COMPUTED_VALUE"""),"bwheatcroft1@gmail.com")</f>
        <v>bwheatcroft1@gmail.com</v>
      </c>
      <c r="G89" s="84">
        <f>IFERROR(__xludf.DUMMYFUNCTION("""COMPUTED_VALUE"""),8.24934773E8)</f>
        <v>824934773</v>
      </c>
      <c r="H89" s="82">
        <f>IFERROR(__xludf.DUMMYFUNCTION("""COMPUTED_VALUE"""),2.70010629E9)</f>
        <v>2700106290</v>
      </c>
      <c r="I89" s="83" t="str">
        <f>IFERROR(__xludf.DUMMYFUNCTION("""COMPUTED_VALUE"""),"Port Shepstone CC")</f>
        <v>Port Shepstone CC</v>
      </c>
      <c r="J89" s="81">
        <f>IFERROR(__xludf.DUMMYFUNCTION("""COMPUTED_VALUE"""),46071.0)</f>
        <v>46071</v>
      </c>
      <c r="K89" s="85">
        <f>IFERROR(__xludf.DUMMYFUNCTION("""COMPUTED_VALUE"""),0.0)</f>
        <v>0</v>
      </c>
      <c r="L89" s="86" t="b">
        <f>IFERROR(__xludf.DUMMYFUNCTION("""COMPUTED_VALUE"""),FALSE)</f>
        <v>0</v>
      </c>
      <c r="M89" s="86" t="b">
        <f>IFERROR(__xludf.DUMMYFUNCTION("""COMPUTED_VALUE"""),FALSE)</f>
        <v>0</v>
      </c>
      <c r="N89" s="86" t="b">
        <f>IFERROR(__xludf.DUMMYFUNCTION("""COMPUTED_VALUE"""),FALSE)</f>
        <v>0</v>
      </c>
      <c r="O89" s="86" t="b">
        <f>IFERROR(__xludf.DUMMYFUNCTION("""COMPUTED_VALUE"""),FALSE)</f>
        <v>0</v>
      </c>
      <c r="P89" s="86" t="b">
        <f>IFERROR(__xludf.DUMMYFUNCTION("""COMPUTED_VALUE"""),FALSE)</f>
        <v>0</v>
      </c>
      <c r="Q89" s="86" t="b">
        <f>IFERROR(__xludf.DUMMYFUNCTION("""COMPUTED_VALUE"""),FALSE)</f>
        <v>0</v>
      </c>
      <c r="R89" s="87" t="b">
        <f>IFERROR(__xludf.DUMMYFUNCTION("""COMPUTED_VALUE"""),FALSE)</f>
        <v>0</v>
      </c>
      <c r="S89" s="87"/>
      <c r="T89" s="87"/>
      <c r="U89" s="87"/>
      <c r="V89" s="87"/>
    </row>
    <row r="90">
      <c r="A90" s="79" t="str">
        <f>IFERROR(__xludf.DUMMYFUNCTION("""COMPUTED_VALUE"""),"Wichmann")</f>
        <v>Wichmann</v>
      </c>
      <c r="B90" s="79" t="str">
        <f>IFERROR(__xludf.DUMMYFUNCTION("""COMPUTED_VALUE"""),"Wally")</f>
        <v>Wally</v>
      </c>
      <c r="C90" s="80" t="str">
        <f>IFERROR(__xludf.DUMMYFUNCTION("""COMPUTED_VALUE"""),"LSC")</f>
        <v>LSC</v>
      </c>
      <c r="D90" s="81">
        <f>IFERROR(__xludf.DUMMYFUNCTION("""COMPUTED_VALUE"""),22057.0)</f>
        <v>22057</v>
      </c>
      <c r="E90" s="82">
        <f>IFERROR(__xludf.DUMMYFUNCTION("""COMPUTED_VALUE"""),66.0)</f>
        <v>66</v>
      </c>
      <c r="F90" s="83" t="str">
        <f>IFERROR(__xludf.DUMMYFUNCTION("""COMPUTED_VALUE"""),"izotspring@mweb.co.za")</f>
        <v>izotspring@mweb.co.za</v>
      </c>
      <c r="G90" s="84">
        <f>IFERROR(__xludf.DUMMYFUNCTION("""COMPUTED_VALUE"""),8.34681778E8)</f>
        <v>834681778</v>
      </c>
      <c r="H90" s="82">
        <f>IFERROR(__xludf.DUMMYFUNCTION("""COMPUTED_VALUE"""),2.700079926E9)</f>
        <v>2700079926</v>
      </c>
      <c r="I90" s="83" t="str">
        <f>IFERROR(__xludf.DUMMYFUNCTION("""COMPUTED_VALUE"""),"Harding CC")</f>
        <v>Harding CC</v>
      </c>
      <c r="J90" s="81">
        <f>IFERROR(__xludf.DUMMYFUNCTION("""COMPUTED_VALUE"""),45959.0)</f>
        <v>45959</v>
      </c>
      <c r="K90" s="85">
        <f>IFERROR(__xludf.DUMMYFUNCTION("""COMPUTED_VALUE"""),1.0)</f>
        <v>1</v>
      </c>
      <c r="L90" s="86" t="b">
        <f>IFERROR(__xludf.DUMMYFUNCTION("""COMPUTED_VALUE"""),FALSE)</f>
        <v>0</v>
      </c>
      <c r="M90" s="86" t="b">
        <f>IFERROR(__xludf.DUMMYFUNCTION("""COMPUTED_VALUE"""),FALSE)</f>
        <v>0</v>
      </c>
      <c r="N90" s="86" t="b">
        <f>IFERROR(__xludf.DUMMYFUNCTION("""COMPUTED_VALUE"""),FALSE)</f>
        <v>0</v>
      </c>
      <c r="O90" s="86" t="b">
        <f>IFERROR(__xludf.DUMMYFUNCTION("""COMPUTED_VALUE"""),FALSE)</f>
        <v>0</v>
      </c>
      <c r="P90" s="86" t="b">
        <f>IFERROR(__xludf.DUMMYFUNCTION("""COMPUTED_VALUE"""),FALSE)</f>
        <v>0</v>
      </c>
      <c r="Q90" s="86" t="b">
        <f>IFERROR(__xludf.DUMMYFUNCTION("""COMPUTED_VALUE"""),FALSE)</f>
        <v>0</v>
      </c>
      <c r="R90" s="87" t="b">
        <f>IFERROR(__xludf.DUMMYFUNCTION("""COMPUTED_VALUE"""),FALSE)</f>
        <v>0</v>
      </c>
      <c r="S90" s="87"/>
      <c r="T90" s="87"/>
      <c r="U90" s="87"/>
      <c r="V90" s="87"/>
    </row>
    <row r="91">
      <c r="A91" s="79" t="str">
        <f>IFERROR(__xludf.DUMMYFUNCTION("""COMPUTED_VALUE"""),"Willemse")</f>
        <v>Willemse</v>
      </c>
      <c r="B91" s="79" t="str">
        <f>IFERROR(__xludf.DUMMYFUNCTION("""COMPUTED_VALUE"""),"Dolf")</f>
        <v>Dolf</v>
      </c>
      <c r="C91" s="80" t="str">
        <f>IFERROR(__xludf.DUMMYFUNCTION("""COMPUTED_VALUE"""),"LSC")</f>
        <v>LSC</v>
      </c>
      <c r="D91" s="81">
        <f>IFERROR(__xludf.DUMMYFUNCTION("""COMPUTED_VALUE"""),17145.0)</f>
        <v>17145</v>
      </c>
      <c r="E91" s="82">
        <f>IFERROR(__xludf.DUMMYFUNCTION("""COMPUTED_VALUE"""),79.0)</f>
        <v>79</v>
      </c>
      <c r="F91" s="83" t="str">
        <f>IFERROR(__xludf.DUMMYFUNCTION("""COMPUTED_VALUE"""),"willemse500@icloud.com")</f>
        <v>willemse500@icloud.com</v>
      </c>
      <c r="G91" s="84">
        <f>IFERROR(__xludf.DUMMYFUNCTION("""COMPUTED_VALUE"""),8.26860009E8)</f>
        <v>826860009</v>
      </c>
      <c r="H91" s="82">
        <f>IFERROR(__xludf.DUMMYFUNCTION("""COMPUTED_VALUE"""),2.700078846E9)</f>
        <v>2700078846</v>
      </c>
      <c r="I91" s="83" t="str">
        <f>IFERROR(__xludf.DUMMYFUNCTION("""COMPUTED_VALUE"""),"Margate CC")</f>
        <v>Margate CC</v>
      </c>
      <c r="J91" s="81">
        <f>IFERROR(__xludf.DUMMYFUNCTION("""COMPUTED_VALUE"""),46006.0)</f>
        <v>46006</v>
      </c>
      <c r="K91" s="85">
        <f>IFERROR(__xludf.DUMMYFUNCTION("""COMPUTED_VALUE"""),1.0)</f>
        <v>1</v>
      </c>
      <c r="L91" s="86" t="b">
        <f>IFERROR(__xludf.DUMMYFUNCTION("""COMPUTED_VALUE"""),FALSE)</f>
        <v>0</v>
      </c>
      <c r="M91" s="86" t="b">
        <f>IFERROR(__xludf.DUMMYFUNCTION("""COMPUTED_VALUE"""),FALSE)</f>
        <v>0</v>
      </c>
      <c r="N91" s="86" t="b">
        <f>IFERROR(__xludf.DUMMYFUNCTION("""COMPUTED_VALUE"""),FALSE)</f>
        <v>0</v>
      </c>
      <c r="O91" s="86" t="b">
        <f>IFERROR(__xludf.DUMMYFUNCTION("""COMPUTED_VALUE"""),FALSE)</f>
        <v>0</v>
      </c>
      <c r="P91" s="86" t="b">
        <f>IFERROR(__xludf.DUMMYFUNCTION("""COMPUTED_VALUE"""),FALSE)</f>
        <v>0</v>
      </c>
      <c r="Q91" s="86" t="b">
        <f>IFERROR(__xludf.DUMMYFUNCTION("""COMPUTED_VALUE"""),FALSE)</f>
        <v>0</v>
      </c>
      <c r="R91" s="87" t="b">
        <f>IFERROR(__xludf.DUMMYFUNCTION("""COMPUTED_VALUE"""),FALSE)</f>
        <v>0</v>
      </c>
      <c r="S91" s="87"/>
      <c r="T91" s="87"/>
      <c r="U91" s="87"/>
      <c r="V91" s="87"/>
    </row>
    <row r="92">
      <c r="A92" s="79" t="str">
        <f>IFERROR(__xludf.DUMMYFUNCTION("""COMPUTED_VALUE"""),"Williams")</f>
        <v>Williams</v>
      </c>
      <c r="B92" s="79" t="str">
        <f>IFERROR(__xludf.DUMMYFUNCTION("""COMPUTED_VALUE"""),"Johan")</f>
        <v>Johan</v>
      </c>
      <c r="C92" s="80" t="str">
        <f>IFERROR(__xludf.DUMMYFUNCTION("""COMPUTED_VALUE"""),"LSC")</f>
        <v>LSC</v>
      </c>
      <c r="D92" s="81"/>
      <c r="E92" s="82"/>
      <c r="F92" s="83"/>
      <c r="G92" s="84">
        <f>IFERROR(__xludf.DUMMYFUNCTION("""COMPUTED_VALUE"""),8.29274606E8)</f>
        <v>829274606</v>
      </c>
      <c r="H92" s="82">
        <f>IFERROR(__xludf.DUMMYFUNCTION("""COMPUTED_VALUE"""),2.700117237E9)</f>
        <v>2700117237</v>
      </c>
      <c r="I92" s="83" t="str">
        <f>IFERROR(__xludf.DUMMYFUNCTION("""COMPUTED_VALUE"""),"Margate CC")</f>
        <v>Margate CC</v>
      </c>
      <c r="J92" s="81"/>
      <c r="K92" s="85">
        <f>IFERROR(__xludf.DUMMYFUNCTION("""COMPUTED_VALUE"""),127.0)</f>
        <v>127</v>
      </c>
      <c r="L92" s="86" t="b">
        <f>IFERROR(__xludf.DUMMYFUNCTION("""COMPUTED_VALUE"""),FALSE)</f>
        <v>0</v>
      </c>
      <c r="M92" s="86" t="b">
        <f>IFERROR(__xludf.DUMMYFUNCTION("""COMPUTED_VALUE"""),FALSE)</f>
        <v>0</v>
      </c>
      <c r="N92" s="86" t="b">
        <f>IFERROR(__xludf.DUMMYFUNCTION("""COMPUTED_VALUE"""),FALSE)</f>
        <v>0</v>
      </c>
      <c r="O92" s="86" t="b">
        <f>IFERROR(__xludf.DUMMYFUNCTION("""COMPUTED_VALUE"""),FALSE)</f>
        <v>0</v>
      </c>
      <c r="P92" s="86" t="b">
        <f>IFERROR(__xludf.DUMMYFUNCTION("""COMPUTED_VALUE"""),FALSE)</f>
        <v>0</v>
      </c>
      <c r="Q92" s="86" t="b">
        <f>IFERROR(__xludf.DUMMYFUNCTION("""COMPUTED_VALUE"""),FALSE)</f>
        <v>0</v>
      </c>
      <c r="R92" s="87" t="b">
        <f>IFERROR(__xludf.DUMMYFUNCTION("""COMPUTED_VALUE"""),FALSE)</f>
        <v>0</v>
      </c>
      <c r="S92" s="87"/>
      <c r="T92" s="87"/>
      <c r="U92" s="87"/>
      <c r="V92" s="87"/>
    </row>
  </sheetData>
  <conditionalFormatting sqref="A2:K92">
    <cfRule type="cellIs" dxfId="3" priority="1" operator="equal">
      <formula>"-"</formula>
    </cfRule>
  </conditionalFormatting>
  <conditionalFormatting sqref="A2:K92">
    <cfRule type="containsBlanks" dxfId="4" priority="2">
      <formula>LEN(TRIM(A2))=0</formula>
    </cfRule>
  </conditionalFormatting>
  <conditionalFormatting sqref="A2:B92 L2:L92">
    <cfRule type="expression" dxfId="5" priority="3">
      <formula>$L2=TRUE</formula>
    </cfRule>
  </conditionalFormatting>
  <conditionalFormatting sqref="A2:B92 M2:M92">
    <cfRule type="expression" dxfId="6" priority="4">
      <formula>$M2=TRUE</formula>
    </cfRule>
  </conditionalFormatting>
  <conditionalFormatting sqref="A2:B92 N2:N92">
    <cfRule type="expression" dxfId="7" priority="5">
      <formula>$N2=TRUE</formula>
    </cfRule>
  </conditionalFormatting>
  <conditionalFormatting sqref="A2:B92 O2:O92">
    <cfRule type="expression" dxfId="8" priority="6">
      <formula>$O2=TRUE</formula>
    </cfRule>
  </conditionalFormatting>
  <conditionalFormatting sqref="A2:B92 P2:P92">
    <cfRule type="expression" dxfId="9" priority="7">
      <formula>$P2=TRUE</formula>
    </cfRule>
  </conditionalFormatting>
  <conditionalFormatting sqref="E2:E92 K2:N92">
    <cfRule type="cellIs" dxfId="10" priority="8" operator="between">
      <formula>80</formula>
      <formula>110</formula>
    </cfRule>
  </conditionalFormatting>
  <conditionalFormatting sqref="A2:K92">
    <cfRule type="cellIs" dxfId="3" priority="9" operator="equal">
      <formula>"-"</formula>
    </cfRule>
  </conditionalFormatting>
  <conditionalFormatting sqref="E2:E92 K2:N92">
    <cfRule type="cellIs" dxfId="11" priority="10" operator="greaterThan">
      <formula>110</formula>
    </cfRule>
  </conditionalFormatting>
  <conditionalFormatting sqref="A2:K92">
    <cfRule type="containsBlanks" dxfId="4" priority="11">
      <formula>LEN(TRIM(A2))=0</formula>
    </cfRule>
  </conditionalFormatting>
  <conditionalFormatting sqref="C2:C92">
    <cfRule type="expression" dxfId="12" priority="12">
      <formula>$Q2=TRUE</formula>
    </cfRule>
  </conditionalFormatting>
  <printOptions gridLines="1" horizontalCentered="1"/>
  <pageMargins bottom="0.75" footer="0.0" header="0.0" left="0.25" right="0.25" top="0.75"/>
  <pageSetup fitToHeight="0" paperSize="9" orientation="landscape" pageOrder="overThenDown"/>
  <headerFooter>
    <oddHeader>&amp;L&amp;A&amp;CSAGES Membership List&amp;R&amp;D</oddHeader>
    <oddFooter>&amp;R&amp;P</oddFooter>
  </headerFooter>
  <drawing r:id="rId1"/>
  <tableParts count="1">
    <tablePart r:id="rId3"/>
  </tableParts>
</worksheet>
</file>