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die\Desktop\Sages National\Website\Website Library\Website info Newsletters ,Minutes &amp; Branch list\Branch list\LSC\2026\"/>
    </mc:Choice>
  </mc:AlternateContent>
  <xr:revisionPtr revIDLastSave="0" documentId="13_ncr:1_{672F7492-39AB-4686-B939-6511E6744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WER SOUTH COAST" sheetId="1" r:id="rId1"/>
  </sheets>
  <calcPr calcId="191029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R57" i="1"/>
  <c r="Q57" i="1"/>
  <c r="P57" i="1"/>
  <c r="O57" i="1"/>
  <c r="N57" i="1"/>
  <c r="M57" i="1"/>
  <c r="L57" i="1"/>
  <c r="K57" i="1"/>
  <c r="J57" i="1"/>
  <c r="I57" i="1"/>
  <c r="H57" i="1"/>
  <c r="G57" i="1"/>
  <c r="C57" i="1"/>
  <c r="B57" i="1"/>
  <c r="A57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R54" i="1"/>
  <c r="Q54" i="1"/>
  <c r="P54" i="1"/>
  <c r="O54" i="1"/>
  <c r="N54" i="1"/>
  <c r="M54" i="1"/>
  <c r="L54" i="1"/>
  <c r="K54" i="1"/>
  <c r="J54" i="1"/>
  <c r="I54" i="1"/>
  <c r="H54" i="1"/>
  <c r="G54" i="1"/>
  <c r="C54" i="1"/>
  <c r="B54" i="1"/>
  <c r="A54" i="1"/>
  <c r="R53" i="1"/>
  <c r="Q53" i="1"/>
  <c r="P53" i="1"/>
  <c r="O53" i="1"/>
  <c r="N53" i="1"/>
  <c r="M53" i="1"/>
  <c r="L53" i="1"/>
  <c r="K53" i="1"/>
  <c r="I53" i="1"/>
  <c r="H53" i="1"/>
  <c r="G53" i="1"/>
  <c r="C53" i="1"/>
  <c r="B53" i="1"/>
  <c r="A53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R36" i="1"/>
  <c r="Q36" i="1"/>
  <c r="P36" i="1"/>
  <c r="O36" i="1"/>
  <c r="N36" i="1"/>
  <c r="M36" i="1"/>
  <c r="L36" i="1"/>
  <c r="K36" i="1"/>
  <c r="J36" i="1"/>
  <c r="I36" i="1"/>
  <c r="G36" i="1"/>
  <c r="F36" i="1"/>
  <c r="E36" i="1"/>
  <c r="D36" i="1"/>
  <c r="C36" i="1"/>
  <c r="B36" i="1"/>
  <c r="A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R24" i="1"/>
  <c r="Q24" i="1"/>
  <c r="P24" i="1"/>
  <c r="O24" i="1"/>
  <c r="N24" i="1"/>
  <c r="M24" i="1"/>
  <c r="L24" i="1"/>
  <c r="K24" i="1"/>
  <c r="H24" i="1"/>
  <c r="C24" i="1"/>
  <c r="B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U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U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V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D11" i="1"/>
  <c r="B11" i="1"/>
  <c r="A11" i="1"/>
  <c r="R10" i="1"/>
  <c r="Q10" i="1"/>
  <c r="P10" i="1"/>
  <c r="O10" i="1"/>
  <c r="N10" i="1"/>
  <c r="M10" i="1"/>
  <c r="L10" i="1"/>
  <c r="K10" i="1"/>
  <c r="J10" i="1"/>
  <c r="I10" i="1"/>
  <c r="G10" i="1"/>
  <c r="F10" i="1"/>
  <c r="E10" i="1"/>
  <c r="D10" i="1"/>
  <c r="B10" i="1"/>
  <c r="A10" i="1"/>
  <c r="R9" i="1"/>
  <c r="Q9" i="1"/>
  <c r="P9" i="1"/>
  <c r="O9" i="1"/>
  <c r="N9" i="1"/>
  <c r="M9" i="1"/>
  <c r="L9" i="1"/>
  <c r="K9" i="1"/>
  <c r="J9" i="1"/>
  <c r="I9" i="1"/>
  <c r="G9" i="1"/>
  <c r="F9" i="1"/>
  <c r="E9" i="1"/>
  <c r="D9" i="1"/>
  <c r="B9" i="1"/>
  <c r="A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T5" i="1" l="1"/>
  <c r="T8" i="1"/>
  <c r="T7" i="1"/>
  <c r="T11" i="1"/>
  <c r="U18" i="1"/>
  <c r="U6" i="1"/>
  <c r="U8" i="1"/>
  <c r="U5" i="1"/>
  <c r="U15" i="1"/>
  <c r="T18" i="1"/>
  <c r="T15" i="1"/>
  <c r="U7" i="1"/>
  <c r="V7" i="1" s="1"/>
  <c r="U16" i="1"/>
  <c r="T10" i="1"/>
  <c r="U10" i="1"/>
  <c r="T21" i="1"/>
  <c r="V21" i="1" s="1"/>
  <c r="T6" i="1"/>
  <c r="T16" i="1"/>
  <c r="U12" i="1"/>
  <c r="T4" i="1"/>
  <c r="U4" i="1"/>
  <c r="T12" i="1"/>
  <c r="U11" i="1"/>
  <c r="V11" i="1" s="1"/>
  <c r="S13" i="1"/>
  <c r="V5" i="1" l="1"/>
  <c r="V12" i="1"/>
  <c r="V6" i="1"/>
  <c r="V8" i="1"/>
  <c r="V15" i="1"/>
  <c r="V4" i="1"/>
  <c r="V10" i="1"/>
  <c r="T20" i="1" s="1"/>
  <c r="V20" i="1" s="1"/>
  <c r="U14" i="1"/>
  <c r="T14" i="1"/>
  <c r="U13" i="1"/>
  <c r="T13" i="1"/>
  <c r="V13" i="1" l="1"/>
  <c r="V14" i="1"/>
  <c r="V18" i="1" s="1"/>
</calcChain>
</file>

<file path=xl/sharedStrings.xml><?xml version="1.0" encoding="utf-8"?>
<sst xmlns="http://schemas.openxmlformats.org/spreadsheetml/2006/main" count="42" uniqueCount="41">
  <si>
    <t>SURNAME</t>
  </si>
  <si>
    <t>NAME</t>
  </si>
  <si>
    <t>BRANCH</t>
  </si>
  <si>
    <t>DOB</t>
  </si>
  <si>
    <t>AGE</t>
  </si>
  <si>
    <t>ADDRESS</t>
  </si>
  <si>
    <t>CELL NO</t>
  </si>
  <si>
    <t>HNA</t>
  </si>
  <si>
    <t>HOME CLUB</t>
  </si>
  <si>
    <t>JOINED</t>
  </si>
  <si>
    <t>YRS</t>
  </si>
  <si>
    <t>HM</t>
  </si>
  <si>
    <t>HL</t>
  </si>
  <si>
    <t>HB</t>
  </si>
  <si>
    <t>AS</t>
  </si>
  <si>
    <t>FM</t>
  </si>
  <si>
    <t>PAY</t>
  </si>
  <si>
    <t>REM</t>
  </si>
  <si>
    <t>INFORMATION</t>
  </si>
  <si>
    <t>Male</t>
  </si>
  <si>
    <t>Female</t>
  </si>
  <si>
    <t>Totals</t>
  </si>
  <si>
    <t>Over 80</t>
  </si>
  <si>
    <t>Honorary Member</t>
  </si>
  <si>
    <t>Honorary Life</t>
  </si>
  <si>
    <t>Associated Members</t>
  </si>
  <si>
    <t>Branch Honorary</t>
  </si>
  <si>
    <t>Outstanding Info</t>
  </si>
  <si>
    <t>Members that pay subs</t>
  </si>
  <si>
    <t>Members that have not paid</t>
  </si>
  <si>
    <t>Outstanding Payments</t>
  </si>
  <si>
    <t>Outstanding Joining Fee</t>
  </si>
  <si>
    <t>Total Branch Members</t>
  </si>
  <si>
    <t>FINANCIAL INFORMATION</t>
  </si>
  <si>
    <t>No.</t>
  </si>
  <si>
    <t>AMOUNT</t>
  </si>
  <si>
    <t>Total Subs Due</t>
  </si>
  <si>
    <t>Boland Subs from FYE</t>
  </si>
  <si>
    <t>Current Membership Payments</t>
  </si>
  <si>
    <t>Associated Payments</t>
  </si>
  <si>
    <t>Lower South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</si>
</sst>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&quot;-&quot;mm&quot;-&quot;yyyy"/>
    <numFmt numFmtId="165" formatCode="[$R]#,##0.00"/>
    <numFmt numFmtId="166" formatCode="000\-000\-0000"/>
    <numFmt numFmtId="167" formatCode="\R#,##0.00_);[Red]\(#,##0.00\)"/>
  </numFmts>
  <fonts count="16" x14ac:knownFonts="1">
    <font>
      <sz val="10"/>
      <color rgb="FF000000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9"/>
      <color theme="1"/>
      <name val="Calibri"/>
    </font>
    <font>
      <b/>
      <sz val="10"/>
      <color theme="1"/>
      <name val="Calibri"/>
    </font>
    <font>
      <b/>
      <sz val="10"/>
      <color rgb="FFFFFFFF"/>
      <name val="Calibri"/>
    </font>
    <font>
      <sz val="10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0"/>
      <color rgb="FFFFFFFF"/>
      <name val="Calibri"/>
    </font>
    <font>
      <sz val="9"/>
      <color rgb="FFFFFFFF"/>
      <name val="Arial"/>
    </font>
    <font>
      <b/>
      <sz val="10"/>
      <color rgb="FFFFFFFF"/>
      <name val="Arial"/>
    </font>
    <font>
      <b/>
      <sz val="9"/>
      <color rgb="FFFFFFFF"/>
      <name val="Arial Black"/>
      <family val="2"/>
    </font>
    <font>
      <sz val="10"/>
      <color rgb="FFFFFFFF"/>
      <name val="Arial Black"/>
      <family val="2"/>
    </font>
    <font>
      <sz val="10"/>
      <color rgb="FF000000"/>
      <name val="Arial Black"/>
      <family val="2"/>
    </font>
    <font>
      <sz val="28"/>
      <color rgb="FF000000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2B2E1"/>
        <bgColor rgb="FFF2B2E1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990000"/>
        <bgColor rgb="FF990000"/>
      </patternFill>
    </fill>
    <fill>
      <patternFill patternType="solid">
        <fgColor rgb="FF15CE00"/>
        <bgColor rgb="FF15CE00"/>
      </patternFill>
    </fill>
    <fill>
      <patternFill patternType="solid">
        <fgColor rgb="FFFFD966"/>
        <bgColor rgb="FFFFD966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 style="thick">
        <color auto="1"/>
      </bottom>
      <diagonal/>
    </border>
    <border>
      <left/>
      <right style="thick">
        <color auto="1"/>
      </right>
      <top style="thin">
        <color rgb="FF000000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166" fontId="2" fillId="5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5" fontId="4" fillId="6" borderId="7" xfId="0" applyNumberFormat="1" applyFont="1" applyFill="1" applyBorder="1" applyAlignment="1">
      <alignment vertical="center" wrapText="1"/>
    </xf>
    <xf numFmtId="165" fontId="4" fillId="6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6" borderId="8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164" fontId="2" fillId="7" borderId="0" xfId="0" applyNumberFormat="1" applyFont="1" applyFill="1" applyAlignment="1">
      <alignment horizontal="center" vertical="center"/>
    </xf>
    <xf numFmtId="3" fontId="2" fillId="7" borderId="0" xfId="0" applyNumberFormat="1" applyFont="1" applyFill="1" applyAlignment="1">
      <alignment horizontal="center" vertical="center"/>
    </xf>
    <xf numFmtId="166" fontId="2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5" fillId="8" borderId="7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2" fillId="5" borderId="17" xfId="0" applyFont="1" applyFill="1" applyBorder="1" applyAlignment="1">
      <alignment vertical="center"/>
    </xf>
    <xf numFmtId="0" fontId="5" fillId="9" borderId="7" xfId="0" applyFont="1" applyFill="1" applyBorder="1" applyAlignment="1">
      <alignment vertical="center"/>
    </xf>
    <xf numFmtId="0" fontId="5" fillId="10" borderId="7" xfId="0" applyFont="1" applyFill="1" applyBorder="1" applyAlignment="1">
      <alignment vertical="center"/>
    </xf>
    <xf numFmtId="0" fontId="4" fillId="11" borderId="7" xfId="0" applyFont="1" applyFill="1" applyBorder="1" applyAlignment="1">
      <alignment vertical="center"/>
    </xf>
    <xf numFmtId="0" fontId="4" fillId="12" borderId="7" xfId="0" applyFont="1" applyFill="1" applyBorder="1" applyAlignment="1">
      <alignment vertical="center"/>
    </xf>
    <xf numFmtId="0" fontId="4" fillId="13" borderId="7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3" fillId="7" borderId="0" xfId="0" applyNumberFormat="1" applyFont="1" applyFill="1" applyAlignment="1">
      <alignment horizontal="center" vertical="center" wrapText="1"/>
    </xf>
    <xf numFmtId="165" fontId="4" fillId="0" borderId="9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3" fillId="5" borderId="0" xfId="0" applyNumberFormat="1" applyFont="1" applyFill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right" vertical="center" wrapText="1"/>
    </xf>
    <xf numFmtId="165" fontId="8" fillId="0" borderId="1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right" vertical="center"/>
    </xf>
    <xf numFmtId="3" fontId="1" fillId="7" borderId="14" xfId="0" applyNumberFormat="1" applyFont="1" applyFill="1" applyBorder="1" applyAlignment="1">
      <alignment horizontal="right" vertical="center"/>
    </xf>
    <xf numFmtId="165" fontId="8" fillId="7" borderId="15" xfId="0" applyNumberFormat="1" applyFont="1" applyFill="1" applyBorder="1" applyAlignment="1">
      <alignment horizontal="right" vertical="center"/>
    </xf>
    <xf numFmtId="3" fontId="10" fillId="8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11" fillId="7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35"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  <border diagonalUp="0" diagonalDown="0" outline="0">
        <left/>
        <right style="thick">
          <color auto="1"/>
        </right>
      </border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  <border diagonalUp="0" diagonalDown="0" outline="0">
        <left style="thick">
          <color auto="1"/>
        </left>
        <right/>
      </border>
    </dxf>
    <dxf>
      <font>
        <color rgb="FFE69138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2B2E1"/>
          <bgColor rgb="FFF2B2E1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15CE00"/>
          <bgColor rgb="FF15CE00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LOWER SOUTH COAST-style" pivot="0" count="2" xr9:uid="{00000000-0011-0000-FFFF-FFFF00000000}">
      <tableStyleElement type="firstRowStripe" dxfId="34"/>
      <tableStyleElement type="secondRow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Q67" headerRowCount="0" headerRowDxfId="2" dataDxfId="0" totalsRowDxfId="1" tableBorderDxfId="32">
  <tableColumns count="17">
    <tableColumn id="1" xr3:uid="{00000000-0010-0000-0000-000001000000}" name="Column1" dataDxfId="19"/>
    <tableColumn id="2" xr3:uid="{00000000-0010-0000-0000-000002000000}" name="Column2" dataDxfId="18"/>
    <tableColumn id="3" xr3:uid="{00000000-0010-0000-0000-000003000000}" name="Column3" dataDxfId="17"/>
    <tableColumn id="4" xr3:uid="{00000000-0010-0000-0000-000004000000}" name="Column4" dataDxfId="16"/>
    <tableColumn id="5" xr3:uid="{00000000-0010-0000-0000-000005000000}" name="Column5" dataDxfId="15"/>
    <tableColumn id="6" xr3:uid="{00000000-0010-0000-0000-000006000000}" name="Column6" dataDxfId="14"/>
    <tableColumn id="7" xr3:uid="{00000000-0010-0000-0000-000007000000}" name="Column7" dataDxfId="13"/>
    <tableColumn id="8" xr3:uid="{00000000-0010-0000-0000-000008000000}" name="Column8" dataDxfId="12"/>
    <tableColumn id="9" xr3:uid="{00000000-0010-0000-0000-000009000000}" name="Column9" dataDxfId="11"/>
    <tableColumn id="10" xr3:uid="{00000000-0010-0000-0000-00000A000000}" name="Column10" dataDxfId="10"/>
    <tableColumn id="11" xr3:uid="{00000000-0010-0000-0000-00000B000000}" name="Column11" dataDxfId="9"/>
    <tableColumn id="12" xr3:uid="{00000000-0010-0000-0000-00000C000000}" name="Column12" dataDxfId="8"/>
    <tableColumn id="13" xr3:uid="{00000000-0010-0000-0000-00000D000000}" name="Column13" dataDxfId="7"/>
    <tableColumn id="14" xr3:uid="{00000000-0010-0000-0000-00000E000000}" name="Column14" dataDxfId="6"/>
    <tableColumn id="15" xr3:uid="{00000000-0010-0000-0000-00000F000000}" name="Column15" dataDxfId="5"/>
    <tableColumn id="16" xr3:uid="{00000000-0010-0000-0000-000010000000}" name="Column16" dataDxfId="4"/>
    <tableColumn id="17" xr3:uid="{00000000-0010-0000-0000-000011000000}" name="Column17" dataDxfId="3"/>
  </tableColumns>
  <tableStyleInfo name="LOWER SOUTH COA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68"/>
  <sheetViews>
    <sheetView tabSelected="1" workbookViewId="0">
      <pane ySplit="2" topLeftCell="A3" activePane="bottomLeft" state="frozen"/>
      <selection pane="bottomLeft" activeCell="Y3" sqref="Y3"/>
    </sheetView>
  </sheetViews>
  <sheetFormatPr defaultColWidth="12.5703125" defaultRowHeight="15.75" customHeight="1" outlineLevelCol="1" x14ac:dyDescent="0.2"/>
  <cols>
    <col min="1" max="2" width="12.5703125" style="18" customWidth="1"/>
    <col min="3" max="3" width="7.5703125" style="18" customWidth="1"/>
    <col min="4" max="4" width="10.7109375" style="18" customWidth="1"/>
    <col min="5" max="5" width="4.28515625" style="18" customWidth="1"/>
    <col min="6" max="6" width="27.5703125" style="18" customWidth="1"/>
    <col min="7" max="7" width="12.140625" style="18" bestFit="1" customWidth="1"/>
    <col min="8" max="8" width="11.42578125" style="18" customWidth="1"/>
    <col min="9" max="9" width="19.85546875" style="18" customWidth="1"/>
    <col min="10" max="10" width="10.140625" style="18" customWidth="1"/>
    <col min="11" max="11" width="4.42578125" style="18" customWidth="1" collapsed="1"/>
    <col min="12" max="18" width="0.42578125" style="18" hidden="1" customWidth="1" outlineLevel="1"/>
    <col min="19" max="19" width="24" style="18" customWidth="1"/>
    <col min="20" max="20" width="11.140625" style="18" customWidth="1"/>
    <col min="21" max="21" width="10.140625" style="18" customWidth="1"/>
    <col min="22" max="22" width="7.5703125" style="18" customWidth="1"/>
    <col min="23" max="16384" width="12.5703125" style="18"/>
  </cols>
  <sheetData>
    <row r="1" spans="1:22" ht="37.5" customHeight="1" thickTop="1" thickBot="1" x14ac:dyDescent="0.25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7"/>
    </row>
    <row r="2" spans="1:22" s="28" customFormat="1" ht="16.5" customHeight="1" thickTop="1" thickBot="1" x14ac:dyDescent="0.25">
      <c r="A2" s="19" t="s">
        <v>0</v>
      </c>
      <c r="B2" s="20" t="s">
        <v>1</v>
      </c>
      <c r="C2" s="20" t="s">
        <v>2</v>
      </c>
      <c r="D2" s="20" t="s">
        <v>3</v>
      </c>
      <c r="E2" s="21" t="s">
        <v>4</v>
      </c>
      <c r="F2" s="20" t="s">
        <v>5</v>
      </c>
      <c r="G2" s="20" t="s">
        <v>6</v>
      </c>
      <c r="H2" s="21" t="s">
        <v>7</v>
      </c>
      <c r="I2" s="20" t="s">
        <v>8</v>
      </c>
      <c r="J2" s="20" t="s">
        <v>9</v>
      </c>
      <c r="K2" s="22" t="s">
        <v>10</v>
      </c>
      <c r="L2" s="23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  <c r="R2" s="24" t="s">
        <v>17</v>
      </c>
      <c r="S2" s="25">
        <v>46081</v>
      </c>
      <c r="T2" s="26"/>
      <c r="U2" s="26"/>
      <c r="V2" s="27"/>
    </row>
    <row r="3" spans="1:22" ht="16.5" customHeight="1" thickTop="1" x14ac:dyDescent="0.2">
      <c r="A3" s="29" t="str">
        <f ca="1">IFERROR(__xludf.DUMMYFUNCTION("QUERY(IMPORTRANGE(""1s2846PiD-LoyoBfLNsFuq7yw0hC7cgOYRj5xs7gtmso"", ""MasterSheet!$A$2:$R""), ""SELECT * where Col3 = 'LSC' AND Col18 = False"",0)"),"Adamson")</f>
        <v>Adamson</v>
      </c>
      <c r="B3" s="30" t="str">
        <f ca="1">IFERROR(__xludf.DUMMYFUNCTION("""COMPUTED_VALUE"""),"Jimmy")</f>
        <v>Jimmy</v>
      </c>
      <c r="C3" s="31" t="str">
        <f ca="1">IFERROR(__xludf.DUMMYFUNCTION("""COMPUTED_VALUE"""),"LSC")</f>
        <v>LSC</v>
      </c>
      <c r="D3" s="32">
        <f ca="1">IFERROR(__xludf.DUMMYFUNCTION("""COMPUTED_VALUE"""),17182)</f>
        <v>17182</v>
      </c>
      <c r="E3" s="33">
        <f ca="1">IFERROR(__xludf.DUMMYFUNCTION("""COMPUTED_VALUE"""),79)</f>
        <v>79</v>
      </c>
      <c r="F3" s="34" t="str">
        <f ca="1">IFERROR(__xludf.DUMMYFUNCTION("""COMPUTED_VALUE"""),"adamsonk98@gmail.com")</f>
        <v>adamsonk98@gmail.com</v>
      </c>
      <c r="G3" s="35">
        <f ca="1">IFERROR(__xludf.DUMMYFUNCTION("""COMPUTED_VALUE"""),835771853)</f>
        <v>835771853</v>
      </c>
      <c r="H3" s="36">
        <f ca="1">IFERROR(__xludf.DUMMYFUNCTION("""COMPUTED_VALUE"""),2700071216)</f>
        <v>2700071216</v>
      </c>
      <c r="I3" s="34" t="str">
        <f ca="1">IFERROR(__xludf.DUMMYFUNCTION("""COMPUTED_VALUE"""),"Port Shepstone CC")</f>
        <v>Port Shepstone CC</v>
      </c>
      <c r="J3" s="32">
        <f ca="1">IFERROR(__xludf.DUMMYFUNCTION("""COMPUTED_VALUE"""),45974)</f>
        <v>45974</v>
      </c>
      <c r="K3" s="37">
        <f ca="1">IFERROR(__xludf.DUMMYFUNCTION("""COMPUTED_VALUE"""),1)</f>
        <v>1</v>
      </c>
      <c r="L3" s="38" t="b">
        <f ca="1">IFERROR(__xludf.DUMMYFUNCTION("""COMPUTED_VALUE"""),FALSE)</f>
        <v>0</v>
      </c>
      <c r="M3" s="38" t="b">
        <f ca="1">IFERROR(__xludf.DUMMYFUNCTION("""COMPUTED_VALUE"""),FALSE)</f>
        <v>0</v>
      </c>
      <c r="N3" s="38" t="b">
        <f ca="1">IFERROR(__xludf.DUMMYFUNCTION("""COMPUTED_VALUE"""),FALSE)</f>
        <v>0</v>
      </c>
      <c r="O3" s="38" t="b">
        <f ca="1">IFERROR(__xludf.DUMMYFUNCTION("""COMPUTED_VALUE"""),FALSE)</f>
        <v>0</v>
      </c>
      <c r="P3" s="39" t="b">
        <f ca="1">IFERROR(__xludf.DUMMYFUNCTION("""COMPUTED_VALUE"""),FALSE)</f>
        <v>0</v>
      </c>
      <c r="Q3" s="40" t="b">
        <f ca="1">IFERROR(__xludf.DUMMYFUNCTION("""COMPUTED_VALUE"""),FALSE)</f>
        <v>0</v>
      </c>
      <c r="R3" s="38" t="b">
        <f ca="1">IFERROR(__xludf.DUMMYFUNCTION("""COMPUTED_VALUE"""),FALSE)</f>
        <v>0</v>
      </c>
      <c r="S3" s="41" t="s">
        <v>18</v>
      </c>
      <c r="T3" s="42" t="s">
        <v>19</v>
      </c>
      <c r="U3" s="43" t="s">
        <v>20</v>
      </c>
      <c r="V3" s="44" t="s">
        <v>21</v>
      </c>
    </row>
    <row r="4" spans="1:22" ht="16.5" customHeight="1" x14ac:dyDescent="0.2">
      <c r="A4" s="45" t="str">
        <f ca="1">IFERROR(__xludf.DUMMYFUNCTION("""COMPUTED_VALUE"""),"Auret")</f>
        <v>Auret</v>
      </c>
      <c r="B4" s="46" t="str">
        <f ca="1">IFERROR(__xludf.DUMMYFUNCTION("""COMPUTED_VALUE"""),"Billy")</f>
        <v>Billy</v>
      </c>
      <c r="C4" s="31" t="str">
        <f ca="1">IFERROR(__xludf.DUMMYFUNCTION("""COMPUTED_VALUE"""),"LSC")</f>
        <v>LSC</v>
      </c>
      <c r="D4" s="47">
        <f ca="1">IFERROR(__xludf.DUMMYFUNCTION("""COMPUTED_VALUE"""),21263)</f>
        <v>21263</v>
      </c>
      <c r="E4" s="48">
        <f ca="1">IFERROR(__xludf.DUMMYFUNCTION("""COMPUTED_VALUE"""),67)</f>
        <v>67</v>
      </c>
      <c r="F4" s="46" t="str">
        <f ca="1">IFERROR(__xludf.DUMMYFUNCTION("""COMPUTED_VALUE"""),"reagbilly@gmail.com")</f>
        <v>reagbilly@gmail.com</v>
      </c>
      <c r="G4" s="49">
        <f ca="1">IFERROR(__xludf.DUMMYFUNCTION("""COMPUTED_VALUE"""),826158228)</f>
        <v>826158228</v>
      </c>
      <c r="H4" s="50">
        <f ca="1">IFERROR(__xludf.DUMMYFUNCTION("""COMPUTED_VALUE"""),2700346287)</f>
        <v>2700346287</v>
      </c>
      <c r="I4" s="46" t="str">
        <f ca="1">IFERROR(__xludf.DUMMYFUNCTION("""COMPUTED_VALUE"""),"Margate")</f>
        <v>Margate</v>
      </c>
      <c r="J4" s="47">
        <f ca="1">IFERROR(__xludf.DUMMYFUNCTION("""COMPUTED_VALUE"""),43073)</f>
        <v>43073</v>
      </c>
      <c r="K4" s="51">
        <f ca="1">IFERROR(__xludf.DUMMYFUNCTION("""COMPUTED_VALUE"""),9)</f>
        <v>9</v>
      </c>
      <c r="L4" s="52" t="b">
        <f ca="1">IFERROR(__xludf.DUMMYFUNCTION("""COMPUTED_VALUE"""),FALSE)</f>
        <v>0</v>
      </c>
      <c r="M4" s="52" t="b">
        <f ca="1">IFERROR(__xludf.DUMMYFUNCTION("""COMPUTED_VALUE"""),FALSE)</f>
        <v>0</v>
      </c>
      <c r="N4" s="52" t="b">
        <f ca="1">IFERROR(__xludf.DUMMYFUNCTION("""COMPUTED_VALUE"""),FALSE)</f>
        <v>0</v>
      </c>
      <c r="O4" s="52" t="b">
        <f ca="1">IFERROR(__xludf.DUMMYFUNCTION("""COMPUTED_VALUE"""),FALSE)</f>
        <v>0</v>
      </c>
      <c r="P4" s="52" t="b">
        <f ca="1">IFERROR(__xludf.DUMMYFUNCTION("""COMPUTED_VALUE"""),FALSE)</f>
        <v>0</v>
      </c>
      <c r="Q4" s="40" t="b">
        <f ca="1">IFERROR(__xludf.DUMMYFUNCTION("""COMPUTED_VALUE"""),FALSE)</f>
        <v>0</v>
      </c>
      <c r="R4" s="52" t="b">
        <f ca="1">IFERROR(__xludf.DUMMYFUNCTION("""COMPUTED_VALUE"""),FALSE)</f>
        <v>0</v>
      </c>
      <c r="S4" s="53" t="s">
        <v>22</v>
      </c>
      <c r="T4" s="54">
        <f ca="1">COUNTIFS($E$3:$E67, "&gt;=80", $P$3:$P67, "False")</f>
        <v>0</v>
      </c>
      <c r="U4" s="55">
        <f ca="1">COUNTIFS($E$3:$E67, "&gt;=80",$P$3:$P67, "True")</f>
        <v>0</v>
      </c>
      <c r="V4" s="56">
        <f t="shared" ref="V4:V8" ca="1" si="0">T4+U4</f>
        <v>0</v>
      </c>
    </row>
    <row r="5" spans="1:22" ht="16.5" customHeight="1" x14ac:dyDescent="0.2">
      <c r="A5" s="57" t="str">
        <f ca="1">IFERROR(__xludf.DUMMYFUNCTION("""COMPUTED_VALUE"""),"Basday")</f>
        <v>Basday</v>
      </c>
      <c r="B5" s="34" t="str">
        <f ca="1">IFERROR(__xludf.DUMMYFUNCTION("""COMPUTED_VALUE"""),"Dick")</f>
        <v>Dick</v>
      </c>
      <c r="C5" s="31" t="str">
        <f ca="1">IFERROR(__xludf.DUMMYFUNCTION("""COMPUTED_VALUE"""),"LSC")</f>
        <v>LSC</v>
      </c>
      <c r="D5" s="32">
        <f ca="1">IFERROR(__xludf.DUMMYFUNCTION("""COMPUTED_VALUE"""),18771)</f>
        <v>18771</v>
      </c>
      <c r="E5" s="33">
        <f ca="1">IFERROR(__xludf.DUMMYFUNCTION("""COMPUTED_VALUE"""),74)</f>
        <v>74</v>
      </c>
      <c r="F5" s="34" t="str">
        <f ca="1">IFERROR(__xludf.DUMMYFUNCTION("""COMPUTED_VALUE"""),"dick@capital.co.za")</f>
        <v>dick@capital.co.za</v>
      </c>
      <c r="G5" s="35">
        <f ca="1">IFERROR(__xludf.DUMMYFUNCTION("""COMPUTED_VALUE"""),729025418)</f>
        <v>729025418</v>
      </c>
      <c r="H5" s="36">
        <f ca="1">IFERROR(__xludf.DUMMYFUNCTION("""COMPUTED_VALUE"""),2700382742)</f>
        <v>2700382742</v>
      </c>
      <c r="I5" s="34" t="str">
        <f ca="1">IFERROR(__xludf.DUMMYFUNCTION("""COMPUTED_VALUE"""),"Port Shepstone CC")</f>
        <v>Port Shepstone CC</v>
      </c>
      <c r="J5" s="32">
        <f ca="1">IFERROR(__xludf.DUMMYFUNCTION("""COMPUTED_VALUE"""),45958)</f>
        <v>45958</v>
      </c>
      <c r="K5" s="37">
        <f ca="1">IFERROR(__xludf.DUMMYFUNCTION("""COMPUTED_VALUE"""),1)</f>
        <v>1</v>
      </c>
      <c r="L5" s="38" t="b">
        <f ca="1">IFERROR(__xludf.DUMMYFUNCTION("""COMPUTED_VALUE"""),FALSE)</f>
        <v>0</v>
      </c>
      <c r="M5" s="38" t="b">
        <f ca="1">IFERROR(__xludf.DUMMYFUNCTION("""COMPUTED_VALUE"""),FALSE)</f>
        <v>0</v>
      </c>
      <c r="N5" s="38" t="b">
        <f ca="1">IFERROR(__xludf.DUMMYFUNCTION("""COMPUTED_VALUE"""),FALSE)</f>
        <v>0</v>
      </c>
      <c r="O5" s="38" t="b">
        <f ca="1">IFERROR(__xludf.DUMMYFUNCTION("""COMPUTED_VALUE"""),FALSE)</f>
        <v>0</v>
      </c>
      <c r="P5" s="38" t="b">
        <f ca="1">IFERROR(__xludf.DUMMYFUNCTION("""COMPUTED_VALUE"""),FALSE)</f>
        <v>0</v>
      </c>
      <c r="Q5" s="40" t="b">
        <f ca="1">IFERROR(__xludf.DUMMYFUNCTION("""COMPUTED_VALUE"""),FALSE)</f>
        <v>0</v>
      </c>
      <c r="R5" s="38" t="b">
        <f ca="1">IFERROR(__xludf.DUMMYFUNCTION("""COMPUTED_VALUE"""),FALSE)</f>
        <v>0</v>
      </c>
      <c r="S5" s="58" t="s">
        <v>23</v>
      </c>
      <c r="T5" s="54">
        <f ca="1">COUNTIFS($L$3:$L67, "True", $P$3:$P67, "False")</f>
        <v>0</v>
      </c>
      <c r="U5" s="55">
        <f ca="1">COUNTIFS($L$2:$L67, "True", $P$2:$P67, "True")</f>
        <v>0</v>
      </c>
      <c r="V5" s="56">
        <f t="shared" ca="1" si="0"/>
        <v>0</v>
      </c>
    </row>
    <row r="6" spans="1:22" ht="16.5" customHeight="1" x14ac:dyDescent="0.2">
      <c r="A6" s="29" t="str">
        <f ca="1">IFERROR(__xludf.DUMMYFUNCTION("""COMPUTED_VALUE"""),"Boonzaier")</f>
        <v>Boonzaier</v>
      </c>
      <c r="B6" s="30" t="str">
        <f ca="1">IFERROR(__xludf.DUMMYFUNCTION("""COMPUTED_VALUE"""),"Conrad")</f>
        <v>Conrad</v>
      </c>
      <c r="C6" s="31" t="str">
        <f ca="1">IFERROR(__xludf.DUMMYFUNCTION("""COMPUTED_VALUE"""),"LSC")</f>
        <v>LSC</v>
      </c>
      <c r="D6" s="47">
        <f ca="1">IFERROR(__xludf.DUMMYFUNCTION("""COMPUTED_VALUE"""),23430)</f>
        <v>23430</v>
      </c>
      <c r="E6" s="48">
        <f ca="1">IFERROR(__xludf.DUMMYFUNCTION("""COMPUTED_VALUE"""),62)</f>
        <v>62</v>
      </c>
      <c r="F6" s="46" t="str">
        <f ca="1">IFERROR(__xludf.DUMMYFUNCTION("""COMPUTED_VALUE"""),"boonzaierc@gmail.com")</f>
        <v>boonzaierc@gmail.com</v>
      </c>
      <c r="G6" s="49">
        <f ca="1">IFERROR(__xludf.DUMMYFUNCTION("""COMPUTED_VALUE"""),825793455)</f>
        <v>825793455</v>
      </c>
      <c r="H6" s="50">
        <f ca="1">IFERROR(__xludf.DUMMYFUNCTION("""COMPUTED_VALUE"""),2700281413)</f>
        <v>2700281413</v>
      </c>
      <c r="I6" s="46" t="str">
        <f ca="1">IFERROR(__xludf.DUMMYFUNCTION("""COMPUTED_VALUE"""),"Margate CC")</f>
        <v>Margate CC</v>
      </c>
      <c r="J6" s="47">
        <f ca="1">IFERROR(__xludf.DUMMYFUNCTION("""COMPUTED_VALUE"""),45945)</f>
        <v>45945</v>
      </c>
      <c r="K6" s="51">
        <f ca="1">IFERROR(__xludf.DUMMYFUNCTION("""COMPUTED_VALUE"""),1)</f>
        <v>1</v>
      </c>
      <c r="L6" s="52" t="b">
        <f ca="1">IFERROR(__xludf.DUMMYFUNCTION("""COMPUTED_VALUE"""),FALSE)</f>
        <v>0</v>
      </c>
      <c r="M6" s="52" t="b">
        <f ca="1">IFERROR(__xludf.DUMMYFUNCTION("""COMPUTED_VALUE"""),FALSE)</f>
        <v>0</v>
      </c>
      <c r="N6" s="52" t="b">
        <f ca="1">IFERROR(__xludf.DUMMYFUNCTION("""COMPUTED_VALUE"""),FALSE)</f>
        <v>0</v>
      </c>
      <c r="O6" s="52" t="b">
        <f ca="1">IFERROR(__xludf.DUMMYFUNCTION("""COMPUTED_VALUE"""),FALSE)</f>
        <v>0</v>
      </c>
      <c r="P6" s="39" t="b">
        <f ca="1">IFERROR(__xludf.DUMMYFUNCTION("""COMPUTED_VALUE"""),FALSE)</f>
        <v>0</v>
      </c>
      <c r="Q6" s="40" t="b">
        <f ca="1">IFERROR(__xludf.DUMMYFUNCTION("""COMPUTED_VALUE"""),FALSE)</f>
        <v>0</v>
      </c>
      <c r="R6" s="52" t="b">
        <f ca="1">IFERROR(__xludf.DUMMYFUNCTION("""COMPUTED_VALUE"""),FALSE)</f>
        <v>0</v>
      </c>
      <c r="S6" s="59" t="s">
        <v>24</v>
      </c>
      <c r="T6" s="54">
        <f ca="1">COUNTIFS($M$3:$M67, "True", $P$3:$P67, "FALSE")</f>
        <v>0</v>
      </c>
      <c r="U6" s="55">
        <f ca="1">COUNTIFS($M$3:$M67, "True", $P$3:$P67, "True")</f>
        <v>0</v>
      </c>
      <c r="V6" s="56">
        <f t="shared" ca="1" si="0"/>
        <v>0</v>
      </c>
    </row>
    <row r="7" spans="1:22" ht="16.5" customHeight="1" x14ac:dyDescent="0.2">
      <c r="A7" s="29" t="str">
        <f ca="1">IFERROR(__xludf.DUMMYFUNCTION("""COMPUTED_VALUE"""),"Clear")</f>
        <v>Clear</v>
      </c>
      <c r="B7" s="30" t="str">
        <f ca="1">IFERROR(__xludf.DUMMYFUNCTION("""COMPUTED_VALUE"""),"Peter")</f>
        <v>Peter</v>
      </c>
      <c r="C7" s="31" t="str">
        <f ca="1">IFERROR(__xludf.DUMMYFUNCTION("""COMPUTED_VALUE"""),"LSC")</f>
        <v>LSC</v>
      </c>
      <c r="D7" s="32">
        <f ca="1">IFERROR(__xludf.DUMMYFUNCTION("""COMPUTED_VALUE"""),20974)</f>
        <v>20974</v>
      </c>
      <c r="E7" s="33">
        <f ca="1">IFERROR(__xludf.DUMMYFUNCTION("""COMPUTED_VALUE"""),68)</f>
        <v>68</v>
      </c>
      <c r="F7" s="34" t="str">
        <f ca="1">IFERROR(__xludf.DUMMYFUNCTION("""COMPUTED_VALUE"""),"pclear56@gmail.com")</f>
        <v>pclear56@gmail.com</v>
      </c>
      <c r="G7" s="35">
        <f ca="1">IFERROR(__xludf.DUMMYFUNCTION("""COMPUTED_VALUE"""),728247826)</f>
        <v>728247826</v>
      </c>
      <c r="H7" s="36">
        <f ca="1">IFERROR(__xludf.DUMMYFUNCTION("""COMPUTED_VALUE"""),2700188053)</f>
        <v>2700188053</v>
      </c>
      <c r="I7" s="34" t="str">
        <f ca="1">IFERROR(__xludf.DUMMYFUNCTION("""COMPUTED_VALUE"""),"Port Edward CC")</f>
        <v>Port Edward CC</v>
      </c>
      <c r="J7" s="32">
        <f ca="1">IFERROR(__xludf.DUMMYFUNCTION("""COMPUTED_VALUE"""),46051)</f>
        <v>46051</v>
      </c>
      <c r="K7" s="37">
        <f ca="1">IFERROR(__xludf.DUMMYFUNCTION("""COMPUTED_VALUE"""),0)</f>
        <v>0</v>
      </c>
      <c r="L7" s="38" t="b">
        <f ca="1">IFERROR(__xludf.DUMMYFUNCTION("""COMPUTED_VALUE"""),FALSE)</f>
        <v>0</v>
      </c>
      <c r="M7" s="38" t="b">
        <f ca="1">IFERROR(__xludf.DUMMYFUNCTION("""COMPUTED_VALUE"""),FALSE)</f>
        <v>0</v>
      </c>
      <c r="N7" s="38" t="b">
        <f ca="1">IFERROR(__xludf.DUMMYFUNCTION("""COMPUTED_VALUE"""),FALSE)</f>
        <v>0</v>
      </c>
      <c r="O7" s="38" t="b">
        <f ca="1">IFERROR(__xludf.DUMMYFUNCTION("""COMPUTED_VALUE"""),FALSE)</f>
        <v>0</v>
      </c>
      <c r="P7" s="39" t="b">
        <f ca="1">IFERROR(__xludf.DUMMYFUNCTION("""COMPUTED_VALUE"""),FALSE)</f>
        <v>0</v>
      </c>
      <c r="Q7" s="40" t="b">
        <f ca="1">IFERROR(__xludf.DUMMYFUNCTION("""COMPUTED_VALUE"""),FALSE)</f>
        <v>0</v>
      </c>
      <c r="R7" s="38" t="b">
        <f ca="1">IFERROR(__xludf.DUMMYFUNCTION("""COMPUTED_VALUE"""),FALSE)</f>
        <v>0</v>
      </c>
      <c r="S7" s="60" t="s">
        <v>25</v>
      </c>
      <c r="T7" s="54">
        <f ca="1">COUNTIFS($O$3:$O67, "True", $P$3:$P67, "False")</f>
        <v>0</v>
      </c>
      <c r="U7" s="55">
        <f ca="1">COUNTIFS($O$2:$O67, "True", $P$2:$P67, "True")</f>
        <v>0</v>
      </c>
      <c r="V7" s="56">
        <f t="shared" ca="1" si="0"/>
        <v>0</v>
      </c>
    </row>
    <row r="8" spans="1:22" ht="16.5" customHeight="1" x14ac:dyDescent="0.2">
      <c r="A8" s="45" t="str">
        <f ca="1">IFERROR(__xludf.DUMMYFUNCTION("""COMPUTED_VALUE"""),"Crouch")</f>
        <v>Crouch</v>
      </c>
      <c r="B8" s="46" t="str">
        <f ca="1">IFERROR(__xludf.DUMMYFUNCTION("""COMPUTED_VALUE"""),"Howard")</f>
        <v>Howard</v>
      </c>
      <c r="C8" s="31" t="str">
        <f ca="1">IFERROR(__xludf.DUMMYFUNCTION("""COMPUTED_VALUE"""),"LSC")</f>
        <v>LSC</v>
      </c>
      <c r="D8" s="47">
        <f ca="1">IFERROR(__xludf.DUMMYFUNCTION("""COMPUTED_VALUE"""),22194)</f>
        <v>22194</v>
      </c>
      <c r="E8" s="33">
        <f ca="1">IFERROR(__xludf.DUMMYFUNCTION("""COMPUTED_VALUE"""),65)</f>
        <v>65</v>
      </c>
      <c r="F8" s="46" t="str">
        <f ca="1">IFERROR(__xludf.DUMMYFUNCTION("""COMPUTED_VALUE"""),"waco@sai.co.za")</f>
        <v>waco@sai.co.za</v>
      </c>
      <c r="G8" s="49">
        <f ca="1">IFERROR(__xludf.DUMMYFUNCTION("""COMPUTED_VALUE"""),732058796)</f>
        <v>732058796</v>
      </c>
      <c r="H8" s="50">
        <f ca="1">IFERROR(__xludf.DUMMYFUNCTION("""COMPUTED_VALUE"""),2700102183)</f>
        <v>2700102183</v>
      </c>
      <c r="I8" s="46" t="str">
        <f ca="1">IFERROR(__xludf.DUMMYFUNCTION("""COMPUTED_VALUE"""),"Port Shepstone CC")</f>
        <v>Port Shepstone CC</v>
      </c>
      <c r="J8" s="47">
        <f ca="1">IFERROR(__xludf.DUMMYFUNCTION("""COMPUTED_VALUE"""),46057)</f>
        <v>46057</v>
      </c>
      <c r="K8" s="51">
        <f ca="1">IFERROR(__xludf.DUMMYFUNCTION("""COMPUTED_VALUE"""),0)</f>
        <v>0</v>
      </c>
      <c r="L8" s="52" t="b">
        <f ca="1">IFERROR(__xludf.DUMMYFUNCTION("""COMPUTED_VALUE"""),FALSE)</f>
        <v>0</v>
      </c>
      <c r="M8" s="52" t="b">
        <f ca="1">IFERROR(__xludf.DUMMYFUNCTION("""COMPUTED_VALUE"""),FALSE)</f>
        <v>0</v>
      </c>
      <c r="N8" s="52" t="b">
        <f ca="1">IFERROR(__xludf.DUMMYFUNCTION("""COMPUTED_VALUE"""),FALSE)</f>
        <v>0</v>
      </c>
      <c r="O8" s="52" t="b">
        <f ca="1">IFERROR(__xludf.DUMMYFUNCTION("""COMPUTED_VALUE"""),FALSE)</f>
        <v>0</v>
      </c>
      <c r="P8" s="52" t="b">
        <f ca="1">IFERROR(__xludf.DUMMYFUNCTION("""COMPUTED_VALUE"""),FALSE)</f>
        <v>0</v>
      </c>
      <c r="Q8" s="52" t="b">
        <f ca="1">IFERROR(__xludf.DUMMYFUNCTION("""COMPUTED_VALUE"""),FALSE)</f>
        <v>0</v>
      </c>
      <c r="R8" s="52" t="b">
        <f ca="1">IFERROR(__xludf.DUMMYFUNCTION("""COMPUTED_VALUE"""),FALSE)</f>
        <v>0</v>
      </c>
      <c r="S8" s="61" t="s">
        <v>26</v>
      </c>
      <c r="T8" s="54">
        <f ca="1">COUNTIFS($N$3:$N67, "True", $P$3:$P67, "False")</f>
        <v>0</v>
      </c>
      <c r="U8" s="55">
        <f ca="1">COUNTIFS($N$2:$N67, "True", $P$2:$P67, "True")</f>
        <v>0</v>
      </c>
      <c r="V8" s="56">
        <f t="shared" ca="1" si="0"/>
        <v>0</v>
      </c>
    </row>
    <row r="9" spans="1:22" ht="16.5" customHeight="1" x14ac:dyDescent="0.2">
      <c r="A9" s="57" t="str">
        <f ca="1">IFERROR(__xludf.DUMMYFUNCTION("""COMPUTED_VALUE"""),"Curnow")</f>
        <v>Curnow</v>
      </c>
      <c r="B9" s="34" t="str">
        <f ca="1">IFERROR(__xludf.DUMMYFUNCTION("""COMPUTED_VALUE"""),"Martin")</f>
        <v>Martin</v>
      </c>
      <c r="C9" s="31" t="str">
        <f ca="1">IFERROR(__xludf.DUMMYFUNCTION("""COMPUTED_VALUE"""),"LSC")</f>
        <v>LSC</v>
      </c>
      <c r="D9" s="32">
        <f ca="1">IFERROR(__xludf.DUMMYFUNCTION("""COMPUTED_VALUE"""),25591)</f>
        <v>25591</v>
      </c>
      <c r="E9" s="33">
        <f ca="1">IFERROR(__xludf.DUMMYFUNCTION("""COMPUTED_VALUE"""),56)</f>
        <v>56</v>
      </c>
      <c r="F9" s="34" t="str">
        <f ca="1">IFERROR(__xludf.DUMMYFUNCTION("""COMPUTED_VALUE"""),"martin@curnowkzn.co.za")</f>
        <v>martin@curnowkzn.co.za</v>
      </c>
      <c r="G9" s="35">
        <f ca="1">IFERROR(__xludf.DUMMYFUNCTION("""COMPUTED_VALUE"""),636836137)</f>
        <v>636836137</v>
      </c>
      <c r="H9" s="36"/>
      <c r="I9" s="34" t="str">
        <f ca="1">IFERROR(__xludf.DUMMYFUNCTION("""COMPUTED_VALUE"""),"Port Shepstone CC")</f>
        <v>Port Shepstone CC</v>
      </c>
      <c r="J9" s="32">
        <f ca="1">IFERROR(__xludf.DUMMYFUNCTION("""COMPUTED_VALUE"""),46043)</f>
        <v>46043</v>
      </c>
      <c r="K9" s="37">
        <f ca="1">IFERROR(__xludf.DUMMYFUNCTION("""COMPUTED_VALUE"""),0)</f>
        <v>0</v>
      </c>
      <c r="L9" s="38" t="b">
        <f ca="1">IFERROR(__xludf.DUMMYFUNCTION("""COMPUTED_VALUE"""),FALSE)</f>
        <v>0</v>
      </c>
      <c r="M9" s="38" t="b">
        <f ca="1">IFERROR(__xludf.DUMMYFUNCTION("""COMPUTED_VALUE"""),FALSE)</f>
        <v>0</v>
      </c>
      <c r="N9" s="38" t="b">
        <f ca="1">IFERROR(__xludf.DUMMYFUNCTION("""COMPUTED_VALUE"""),FALSE)</f>
        <v>0</v>
      </c>
      <c r="O9" s="38" t="b">
        <f ca="1">IFERROR(__xludf.DUMMYFUNCTION("""COMPUTED_VALUE"""),FALSE)</f>
        <v>0</v>
      </c>
      <c r="P9" s="38" t="b">
        <f ca="1">IFERROR(__xludf.DUMMYFUNCTION("""COMPUTED_VALUE"""),FALSE)</f>
        <v>0</v>
      </c>
      <c r="Q9" s="38" t="b">
        <f ca="1">IFERROR(__xludf.DUMMYFUNCTION("""COMPUTED_VALUE"""),FALSE)</f>
        <v>0</v>
      </c>
      <c r="R9" s="38" t="b">
        <f ca="1">IFERROR(__xludf.DUMMYFUNCTION("""COMPUTED_VALUE"""),FALSE)</f>
        <v>0</v>
      </c>
      <c r="S9" s="62" t="s">
        <v>27</v>
      </c>
      <c r="T9" s="63"/>
      <c r="U9" s="63"/>
      <c r="V9" s="64"/>
    </row>
    <row r="10" spans="1:22" ht="16.5" customHeight="1" x14ac:dyDescent="0.2">
      <c r="A10" s="45" t="str">
        <f ca="1">IFERROR(__xludf.DUMMYFUNCTION("""COMPUTED_VALUE"""),"Curnow")</f>
        <v>Curnow</v>
      </c>
      <c r="B10" s="46" t="str">
        <f ca="1">IFERROR(__xludf.DUMMYFUNCTION("""COMPUTED_VALUE"""),"Clayton")</f>
        <v>Clayton</v>
      </c>
      <c r="C10" s="31" t="str">
        <f ca="1">IFERROR(__xludf.DUMMYFUNCTION("""COMPUTED_VALUE"""),"LSC")</f>
        <v>LSC</v>
      </c>
      <c r="D10" s="47">
        <f ca="1">IFERROR(__xludf.DUMMYFUNCTION("""COMPUTED_VALUE"""),26375)</f>
        <v>26375</v>
      </c>
      <c r="E10" s="48">
        <f ca="1">IFERROR(__xludf.DUMMYFUNCTION("""COMPUTED_VALUE"""),53)</f>
        <v>53</v>
      </c>
      <c r="F10" s="46" t="str">
        <f ca="1">IFERROR(__xludf.DUMMYFUNCTION("""COMPUTED_VALUE"""),"clayton@curnowkzn.co.za")</f>
        <v>clayton@curnowkzn.co.za</v>
      </c>
      <c r="G10" s="49">
        <f ca="1">IFERROR(__xludf.DUMMYFUNCTION("""COMPUTED_VALUE"""),714978751)</f>
        <v>714978751</v>
      </c>
      <c r="H10" s="50"/>
      <c r="I10" s="46" t="str">
        <f ca="1">IFERROR(__xludf.DUMMYFUNCTION("""COMPUTED_VALUE"""),"Port Shepstone CC")</f>
        <v>Port Shepstone CC</v>
      </c>
      <c r="J10" s="47">
        <f ca="1">IFERROR(__xludf.DUMMYFUNCTION("""COMPUTED_VALUE"""),46043)</f>
        <v>46043</v>
      </c>
      <c r="K10" s="51">
        <f ca="1">IFERROR(__xludf.DUMMYFUNCTION("""COMPUTED_VALUE"""),0)</f>
        <v>0</v>
      </c>
      <c r="L10" s="52" t="b">
        <f ca="1">IFERROR(__xludf.DUMMYFUNCTION("""COMPUTED_VALUE"""),FALSE)</f>
        <v>0</v>
      </c>
      <c r="M10" s="52" t="b">
        <f ca="1">IFERROR(__xludf.DUMMYFUNCTION("""COMPUTED_VALUE"""),FALSE)</f>
        <v>0</v>
      </c>
      <c r="N10" s="52" t="b">
        <f ca="1">IFERROR(__xludf.DUMMYFUNCTION("""COMPUTED_VALUE"""),FALSE)</f>
        <v>0</v>
      </c>
      <c r="O10" s="52" t="b">
        <f ca="1">IFERROR(__xludf.DUMMYFUNCTION("""COMPUTED_VALUE"""),FALSE)</f>
        <v>0</v>
      </c>
      <c r="P10" s="52" t="b">
        <f ca="1">IFERROR(__xludf.DUMMYFUNCTION("""COMPUTED_VALUE"""),FALSE)</f>
        <v>0</v>
      </c>
      <c r="Q10" s="40" t="b">
        <f ca="1">IFERROR(__xludf.DUMMYFUNCTION("""COMPUTED_VALUE"""),FALSE)</f>
        <v>0</v>
      </c>
      <c r="R10" s="52" t="b">
        <f ca="1">IFERROR(__xludf.DUMMYFUNCTION("""COMPUTED_VALUE"""),FALSE)</f>
        <v>0</v>
      </c>
      <c r="S10" s="65" t="s">
        <v>28</v>
      </c>
      <c r="T10" s="54">
        <f ca="1">COUNTIFS($E$3:$E67,"&lt;80",$L$3:$L67, "False",  $M$3:$M67, "False",  $P$3:$P67, "False")</f>
        <v>50</v>
      </c>
      <c r="U10" s="54">
        <f ca="1">COUNTIFS($E$3:$E67,"&lt;80",$L$3:$L67, "False",  $M$3:$M67, "False",  $P$3:$P67, "True")</f>
        <v>11</v>
      </c>
      <c r="V10" s="66">
        <f t="shared" ref="V10:V15" ca="1" si="1">T10+U10</f>
        <v>61</v>
      </c>
    </row>
    <row r="11" spans="1:22" ht="16.5" customHeight="1" x14ac:dyDescent="0.2">
      <c r="A11" s="57" t="str">
        <f ca="1">IFERROR(__xludf.DUMMYFUNCTION("""COMPUTED_VALUE"""),"Curnow")</f>
        <v>Curnow</v>
      </c>
      <c r="B11" s="34" t="str">
        <f ca="1">IFERROR(__xludf.DUMMYFUNCTION("""COMPUTED_VALUE"""),"Craig")</f>
        <v>Craig</v>
      </c>
      <c r="C11" s="31" t="str">
        <f ca="1">IFERROR(__xludf.DUMMYFUNCTION("""COMPUTED_VALUE"""),"LSC")</f>
        <v>LSC</v>
      </c>
      <c r="D11" s="32">
        <f ca="1">IFERROR(__xludf.DUMMYFUNCTION("""COMPUTED_VALUE"""),27011)</f>
        <v>27011</v>
      </c>
      <c r="E11" s="33">
        <f ca="1">IFERROR(__xludf.DUMMYFUNCTION("""COMPUTED_VALUE"""),52)</f>
        <v>52</v>
      </c>
      <c r="F11" s="34" t="str">
        <f ca="1">IFERROR(__xludf.DUMMYFUNCTION("""COMPUTED_VALUE"""),"craig@curnowkzn.co.za")</f>
        <v>craig@curnowkzn.co.za</v>
      </c>
      <c r="G11" s="35">
        <f ca="1">IFERROR(__xludf.DUMMYFUNCTION("""COMPUTED_VALUE"""),820620097)</f>
        <v>820620097</v>
      </c>
      <c r="H11" s="36"/>
      <c r="I11" s="34" t="str">
        <f ca="1">IFERROR(__xludf.DUMMYFUNCTION("""COMPUTED_VALUE"""),"Port Shepstone CC")</f>
        <v>Port Shepstone CC</v>
      </c>
      <c r="J11" s="32">
        <f ca="1">IFERROR(__xludf.DUMMYFUNCTION("""COMPUTED_VALUE"""),46043)</f>
        <v>46043</v>
      </c>
      <c r="K11" s="37">
        <f ca="1">IFERROR(__xludf.DUMMYFUNCTION("""COMPUTED_VALUE"""),0)</f>
        <v>0</v>
      </c>
      <c r="L11" s="38" t="b">
        <f ca="1">IFERROR(__xludf.DUMMYFUNCTION("""COMPUTED_VALUE"""),FALSE)</f>
        <v>0</v>
      </c>
      <c r="M11" s="38" t="b">
        <f ca="1">IFERROR(__xludf.DUMMYFUNCTION("""COMPUTED_VALUE"""),FALSE)</f>
        <v>0</v>
      </c>
      <c r="N11" s="38" t="b">
        <f ca="1">IFERROR(__xludf.DUMMYFUNCTION("""COMPUTED_VALUE"""),FALSE)</f>
        <v>0</v>
      </c>
      <c r="O11" s="38" t="b">
        <f ca="1">IFERROR(__xludf.DUMMYFUNCTION("""COMPUTED_VALUE"""),FALSE)</f>
        <v>0</v>
      </c>
      <c r="P11" s="38" t="b">
        <f ca="1">IFERROR(__xludf.DUMMYFUNCTION("""COMPUTED_VALUE"""),FALSE)</f>
        <v>0</v>
      </c>
      <c r="Q11" s="40" t="b">
        <f ca="1">IFERROR(__xludf.DUMMYFUNCTION("""COMPUTED_VALUE"""),FALSE)</f>
        <v>0</v>
      </c>
      <c r="R11" s="38" t="b">
        <f ca="1">IFERROR(__xludf.DUMMYFUNCTION("""COMPUTED_VALUE"""),FALSE)</f>
        <v>0</v>
      </c>
      <c r="S11" s="65" t="s">
        <v>29</v>
      </c>
      <c r="T11" s="54">
        <f ca="1">COUNTIFS($E$3:$E67,"&lt;80",$L$3:$L67, "False",  $M$3:$M67, "False", $P$3:$P67, "False", Q3:Q67, "True")</f>
        <v>0</v>
      </c>
      <c r="U11" s="67">
        <f ca="1">COUNTIFS($E$3:$E67,"&lt;80",$L$3:$L67, "False",  $M$3:$M67, "False", $P$3:$P67, "True", $Q$3:$Q67, "True")</f>
        <v>0</v>
      </c>
      <c r="V11" s="68">
        <f t="shared" ca="1" si="1"/>
        <v>0</v>
      </c>
    </row>
    <row r="12" spans="1:22" ht="16.5" customHeight="1" x14ac:dyDescent="0.2">
      <c r="A12" s="45" t="str">
        <f ca="1">IFERROR(__xludf.DUMMYFUNCTION("""COMPUTED_VALUE"""),"De Goede")</f>
        <v>De Goede</v>
      </c>
      <c r="B12" s="46" t="str">
        <f ca="1">IFERROR(__xludf.DUMMYFUNCTION("""COMPUTED_VALUE"""),"Jeremy")</f>
        <v>Jeremy</v>
      </c>
      <c r="C12" s="31" t="str">
        <f ca="1">IFERROR(__xludf.DUMMYFUNCTION("""COMPUTED_VALUE"""),"LSC")</f>
        <v>LSC</v>
      </c>
      <c r="D12" s="47">
        <f ca="1">IFERROR(__xludf.DUMMYFUNCTION("""COMPUTED_VALUE"""),19527)</f>
        <v>19527</v>
      </c>
      <c r="E12" s="48">
        <f ca="1">IFERROR(__xludf.DUMMYFUNCTION("""COMPUTED_VALUE"""),72)</f>
        <v>72</v>
      </c>
      <c r="F12" s="46" t="str">
        <f ca="1">IFERROR(__xludf.DUMMYFUNCTION("""COMPUTED_VALUE"""),"habaluti@gmail.com")</f>
        <v>habaluti@gmail.com</v>
      </c>
      <c r="G12" s="49">
        <f ca="1">IFERROR(__xludf.DUMMYFUNCTION("""COMPUTED_VALUE"""),736166578)</f>
        <v>736166578</v>
      </c>
      <c r="H12" s="50">
        <f ca="1">IFERROR(__xludf.DUMMYFUNCTION("""COMPUTED_VALUE"""),2700338587)</f>
        <v>2700338587</v>
      </c>
      <c r="I12" s="46" t="str">
        <f ca="1">IFERROR(__xludf.DUMMYFUNCTION("""COMPUTED_VALUE"""),"Port Edward CC")</f>
        <v>Port Edward CC</v>
      </c>
      <c r="J12" s="47">
        <f ca="1">IFERROR(__xludf.DUMMYFUNCTION("""COMPUTED_VALUE"""),46051)</f>
        <v>46051</v>
      </c>
      <c r="K12" s="51">
        <f ca="1">IFERROR(__xludf.DUMMYFUNCTION("""COMPUTED_VALUE"""),0)</f>
        <v>0</v>
      </c>
      <c r="L12" s="52" t="b">
        <f ca="1">IFERROR(__xludf.DUMMYFUNCTION("""COMPUTED_VALUE"""),FALSE)</f>
        <v>0</v>
      </c>
      <c r="M12" s="52" t="b">
        <f ca="1">IFERROR(__xludf.DUMMYFUNCTION("""COMPUTED_VALUE"""),FALSE)</f>
        <v>0</v>
      </c>
      <c r="N12" s="52" t="b">
        <f ca="1">IFERROR(__xludf.DUMMYFUNCTION("""COMPUTED_VALUE"""),FALSE)</f>
        <v>0</v>
      </c>
      <c r="O12" s="52" t="b">
        <f ca="1">IFERROR(__xludf.DUMMYFUNCTION("""COMPUTED_VALUE"""),FALSE)</f>
        <v>0</v>
      </c>
      <c r="P12" s="52" t="b">
        <f ca="1">IFERROR(__xludf.DUMMYFUNCTION("""COMPUTED_VALUE"""),FALSE)</f>
        <v>0</v>
      </c>
      <c r="Q12" s="40" t="b">
        <f ca="1">IFERROR(__xludf.DUMMYFUNCTION("""COMPUTED_VALUE"""),FALSE)</f>
        <v>0</v>
      </c>
      <c r="R12" s="52" t="b">
        <f ca="1">IFERROR(__xludf.DUMMYFUNCTION("""COMPUTED_VALUE"""),FALSE)</f>
        <v>0</v>
      </c>
      <c r="S12" s="69" t="s">
        <v>30</v>
      </c>
      <c r="T12" s="54">
        <f ca="1">COUNTIFS($E$3:$E67,"&lt;80",$L$3:$L67, "False",  $M$3:$M67, "False", $P$3:$P67, "False", $Q$3:$Q67, "True")</f>
        <v>0</v>
      </c>
      <c r="U12" s="54">
        <f ca="1">COUNTIFS($E$3:$E67,"&lt;80",$L$3:$L67, "False",  $M$3:$M67, "False", $P$3:$P67, "True", $Q$3:$Q67, "True")</f>
        <v>0</v>
      </c>
      <c r="V12" s="66">
        <f t="shared" ca="1" si="1"/>
        <v>0</v>
      </c>
    </row>
    <row r="13" spans="1:22" ht="16.5" customHeight="1" x14ac:dyDescent="0.2">
      <c r="A13" s="57" t="str">
        <f ca="1">IFERROR(__xludf.DUMMYFUNCTION("""COMPUTED_VALUE"""),"Deley")</f>
        <v>Deley</v>
      </c>
      <c r="B13" s="34" t="str">
        <f ca="1">IFERROR(__xludf.DUMMYFUNCTION("""COMPUTED_VALUE"""),"Kevin")</f>
        <v>Kevin</v>
      </c>
      <c r="C13" s="31" t="str">
        <f ca="1">IFERROR(__xludf.DUMMYFUNCTION("""COMPUTED_VALUE"""),"LSC")</f>
        <v>LSC</v>
      </c>
      <c r="D13" s="32">
        <f ca="1">IFERROR(__xludf.DUMMYFUNCTION("""COMPUTED_VALUE"""),17634)</f>
        <v>17634</v>
      </c>
      <c r="E13" s="48">
        <f ca="1">IFERROR(__xludf.DUMMYFUNCTION("""COMPUTED_VALUE"""),77)</f>
        <v>77</v>
      </c>
      <c r="F13" s="34" t="str">
        <f ca="1">IFERROR(__xludf.DUMMYFUNCTION("""COMPUTED_VALUE"""),"kevindeley@gmail.com")</f>
        <v>kevindeley@gmail.com</v>
      </c>
      <c r="G13" s="35">
        <f ca="1">IFERROR(__xludf.DUMMYFUNCTION("""COMPUTED_VALUE"""),825475883)</f>
        <v>825475883</v>
      </c>
      <c r="H13" s="36">
        <f ca="1">IFERROR(__xludf.DUMMYFUNCTION("""COMPUTED_VALUE"""),2700064983)</f>
        <v>2700064983</v>
      </c>
      <c r="I13" s="34" t="str">
        <f ca="1">IFERROR(__xludf.DUMMYFUNCTION("""COMPUTED_VALUE"""),"Margate")</f>
        <v>Margate</v>
      </c>
      <c r="J13" s="32">
        <f ca="1">IFERROR(__xludf.DUMMYFUNCTION("""COMPUTED_VALUE"""),45679)</f>
        <v>45679</v>
      </c>
      <c r="K13" s="37">
        <f ca="1">IFERROR(__xludf.DUMMYFUNCTION("""COMPUTED_VALUE"""),1)</f>
        <v>1</v>
      </c>
      <c r="L13" s="38" t="b">
        <f ca="1">IFERROR(__xludf.DUMMYFUNCTION("""COMPUTED_VALUE"""),FALSE)</f>
        <v>0</v>
      </c>
      <c r="M13" s="38" t="b">
        <f ca="1">IFERROR(__xludf.DUMMYFUNCTION("""COMPUTED_VALUE"""),FALSE)</f>
        <v>0</v>
      </c>
      <c r="N13" s="38" t="b">
        <f ca="1">IFERROR(__xludf.DUMMYFUNCTION("""COMPUTED_VALUE"""),FALSE)</f>
        <v>0</v>
      </c>
      <c r="O13" s="38" t="b">
        <f ca="1">IFERROR(__xludf.DUMMYFUNCTION("""COMPUTED_VALUE"""),FALSE)</f>
        <v>0</v>
      </c>
      <c r="P13" s="38" t="b">
        <f ca="1">IFERROR(__xludf.DUMMYFUNCTION("""COMPUTED_VALUE"""),FALSE)</f>
        <v>0</v>
      </c>
      <c r="Q13" s="38" t="b">
        <f ca="1">IFERROR(__xludf.DUMMYFUNCTION("""COMPUTED_VALUE"""),FALSE)</f>
        <v>0</v>
      </c>
      <c r="R13" s="38" t="b">
        <f ca="1">IFERROR(__xludf.DUMMYFUNCTION("""COMPUTED_VALUE"""),FALSE)</f>
        <v>0</v>
      </c>
      <c r="S13" s="70" t="str">
        <f>"New Members for "&amp;YEAR(S2)</f>
        <v>New Members for 2026</v>
      </c>
      <c r="T13" s="54">
        <f ca="1">COUNTIFS($J$3:J67,"&gt;="&amp;$V$2,$J$3:$J67,"&lt;="&amp;$S$2, K3:K67,"=0", $P$3:$P67, "False")</f>
        <v>0</v>
      </c>
      <c r="U13" s="54">
        <f ca="1">COUNTIFS($J$3:J67,"&gt;="&amp;$V$2,$J$3:$J67,"&lt;="&amp;$S$2,K3:K67,"=0", $P$3:$P67, "True")</f>
        <v>0</v>
      </c>
      <c r="V13" s="66">
        <f t="shared" ca="1" si="1"/>
        <v>0</v>
      </c>
    </row>
    <row r="14" spans="1:22" ht="16.5" customHeight="1" thickBot="1" x14ac:dyDescent="0.25">
      <c r="A14" s="45" t="str">
        <f ca="1">IFERROR(__xludf.DUMMYFUNCTION("""COMPUTED_VALUE"""),"Deley")</f>
        <v>Deley</v>
      </c>
      <c r="B14" s="46" t="str">
        <f ca="1">IFERROR(__xludf.DUMMYFUNCTION("""COMPUTED_VALUE"""),"Veni")</f>
        <v>Veni</v>
      </c>
      <c r="C14" s="31" t="str">
        <f ca="1">IFERROR(__xludf.DUMMYFUNCTION("""COMPUTED_VALUE"""),"LSC")</f>
        <v>LSC</v>
      </c>
      <c r="D14" s="47">
        <f ca="1">IFERROR(__xludf.DUMMYFUNCTION("""COMPUTED_VALUE"""),22643)</f>
        <v>22643</v>
      </c>
      <c r="E14" s="48">
        <f ca="1">IFERROR(__xludf.DUMMYFUNCTION("""COMPUTED_VALUE"""),64)</f>
        <v>64</v>
      </c>
      <c r="F14" s="46" t="str">
        <f ca="1">IFERROR(__xludf.DUMMYFUNCTION("""COMPUTED_VALUE"""),"venideley@gmail.com")</f>
        <v>venideley@gmail.com</v>
      </c>
      <c r="G14" s="49">
        <f ca="1">IFERROR(__xludf.DUMMYFUNCTION("""COMPUTED_VALUE"""),829288489)</f>
        <v>829288489</v>
      </c>
      <c r="H14" s="50">
        <f ca="1">IFERROR(__xludf.DUMMYFUNCTION("""COMPUTED_VALUE"""),2700358620)</f>
        <v>2700358620</v>
      </c>
      <c r="I14" s="46" t="str">
        <f ca="1">IFERROR(__xludf.DUMMYFUNCTION("""COMPUTED_VALUE"""),"Margate")</f>
        <v>Margate</v>
      </c>
      <c r="J14" s="47">
        <f ca="1">IFERROR(__xludf.DUMMYFUNCTION("""COMPUTED_VALUE"""),45685)</f>
        <v>45685</v>
      </c>
      <c r="K14" s="51">
        <f ca="1">IFERROR(__xludf.DUMMYFUNCTION("""COMPUTED_VALUE"""),1)</f>
        <v>1</v>
      </c>
      <c r="L14" s="52" t="b">
        <f ca="1">IFERROR(__xludf.DUMMYFUNCTION("""COMPUTED_VALUE"""),FALSE)</f>
        <v>0</v>
      </c>
      <c r="M14" s="52" t="b">
        <f ca="1">IFERROR(__xludf.DUMMYFUNCTION("""COMPUTED_VALUE"""),FALSE)</f>
        <v>0</v>
      </c>
      <c r="N14" s="52" t="b">
        <f ca="1">IFERROR(__xludf.DUMMYFUNCTION("""COMPUTED_VALUE"""),FALSE)</f>
        <v>0</v>
      </c>
      <c r="O14" s="52" t="b">
        <f ca="1">IFERROR(__xludf.DUMMYFUNCTION("""COMPUTED_VALUE"""),FALSE)</f>
        <v>0</v>
      </c>
      <c r="P14" s="52" t="b">
        <f ca="1">IFERROR(__xludf.DUMMYFUNCTION("""COMPUTED_VALUE"""),TRUE)</f>
        <v>1</v>
      </c>
      <c r="Q14" s="40" t="b">
        <f ca="1">IFERROR(__xludf.DUMMYFUNCTION("""COMPUTED_VALUE"""),FALSE)</f>
        <v>0</v>
      </c>
      <c r="R14" s="71" t="b">
        <f ca="1">IFERROR(__xludf.DUMMYFUNCTION("""COMPUTED_VALUE"""),FALSE)</f>
        <v>0</v>
      </c>
      <c r="S14" s="72" t="s">
        <v>31</v>
      </c>
      <c r="T14" s="73">
        <f ca="1">COUNTIFS($J$3:J67,"&gt;="&amp;$V$2,$J$3:$J67,"&lt;="&amp;$S$2,$E$3:$E67,"&lt;81",$L$3:$L67, "False",  $M$3:$M67, "False",  $P$3:$P67, "False", $Q$3:$Q67,"True")</f>
        <v>0</v>
      </c>
      <c r="U14" s="74">
        <f ca="1">COUNTIFS($J$3:J67,"&gt;="&amp;$V$2,$J$3:$J67,"&lt;="&amp;$S$2,$E$3:$E67,"&lt;81",$L$3:$L67, "False",  $M$3:$M67, "False",  $P$3:$P67, "True", $Q$3:$Q67,"True")</f>
        <v>0</v>
      </c>
      <c r="V14" s="75">
        <f t="shared" ca="1" si="1"/>
        <v>0</v>
      </c>
    </row>
    <row r="15" spans="1:22" ht="16.5" customHeight="1" thickTop="1" x14ac:dyDescent="0.2">
      <c r="A15" s="57" t="str">
        <f ca="1">IFERROR(__xludf.DUMMYFUNCTION("""COMPUTED_VALUE"""),"Erasmus")</f>
        <v>Erasmus</v>
      </c>
      <c r="B15" s="34" t="str">
        <f ca="1">IFERROR(__xludf.DUMMYFUNCTION("""COMPUTED_VALUE"""),"Lesley")</f>
        <v>Lesley</v>
      </c>
      <c r="C15" s="31" t="str">
        <f ca="1">IFERROR(__xludf.DUMMYFUNCTION("""COMPUTED_VALUE"""),"LSC")</f>
        <v>LSC</v>
      </c>
      <c r="D15" s="32">
        <f ca="1">IFERROR(__xludf.DUMMYFUNCTION("""COMPUTED_VALUE"""),19571)</f>
        <v>19571</v>
      </c>
      <c r="E15" s="33">
        <f ca="1">IFERROR(__xludf.DUMMYFUNCTION("""COMPUTED_VALUE"""),72)</f>
        <v>72</v>
      </c>
      <c r="F15" s="34" t="str">
        <f ca="1">IFERROR(__xludf.DUMMYFUNCTION("""COMPUTED_VALUE"""),"joleserasmus@gmail.com")</f>
        <v>joleserasmus@gmail.com</v>
      </c>
      <c r="G15" s="35">
        <f ca="1">IFERROR(__xludf.DUMMYFUNCTION("""COMPUTED_VALUE"""),828441361)</f>
        <v>828441361</v>
      </c>
      <c r="H15" s="36">
        <f ca="1">IFERROR(__xludf.DUMMYFUNCTION("""COMPUTED_VALUE"""),2700069618)</f>
        <v>2700069618</v>
      </c>
      <c r="I15" s="34" t="str">
        <f ca="1">IFERROR(__xludf.DUMMYFUNCTION("""COMPUTED_VALUE"""),"Margate CC")</f>
        <v>Margate CC</v>
      </c>
      <c r="J15" s="32">
        <f ca="1">IFERROR(__xludf.DUMMYFUNCTION("""COMPUTED_VALUE"""),45968)</f>
        <v>45968</v>
      </c>
      <c r="K15" s="37">
        <f ca="1">IFERROR(__xludf.DUMMYFUNCTION("""COMPUTED_VALUE"""),1)</f>
        <v>1</v>
      </c>
      <c r="L15" s="38" t="b">
        <f ca="1">IFERROR(__xludf.DUMMYFUNCTION("""COMPUTED_VALUE"""),FALSE)</f>
        <v>0</v>
      </c>
      <c r="M15" s="38" t="b">
        <f ca="1">IFERROR(__xludf.DUMMYFUNCTION("""COMPUTED_VALUE"""),FALSE)</f>
        <v>0</v>
      </c>
      <c r="N15" s="38" t="b">
        <f ca="1">IFERROR(__xludf.DUMMYFUNCTION("""COMPUTED_VALUE"""),FALSE)</f>
        <v>0</v>
      </c>
      <c r="O15" s="38" t="b">
        <f ca="1">IFERROR(__xludf.DUMMYFUNCTION("""COMPUTED_VALUE"""),FALSE)</f>
        <v>0</v>
      </c>
      <c r="P15" s="38" t="b">
        <f ca="1">IFERROR(__xludf.DUMMYFUNCTION("""COMPUTED_VALUE"""),FALSE)</f>
        <v>0</v>
      </c>
      <c r="Q15" s="40" t="b">
        <f ca="1">IFERROR(__xludf.DUMMYFUNCTION("""COMPUTED_VALUE"""),FALSE)</f>
        <v>0</v>
      </c>
      <c r="R15" s="38" t="b">
        <f ca="1">IFERROR(__xludf.DUMMYFUNCTION("""COMPUTED_VALUE"""),FALSE)</f>
        <v>0</v>
      </c>
      <c r="S15" s="76" t="s">
        <v>32</v>
      </c>
      <c r="T15" s="77">
        <f ca="1">SUM(COUNTIF($P$3:$P67, "False"))</f>
        <v>54</v>
      </c>
      <c r="U15" s="54">
        <f ca="1">SUM(COUNTIF($P$3:$P67, "True"))</f>
        <v>11</v>
      </c>
      <c r="V15" s="78">
        <f t="shared" ca="1" si="1"/>
        <v>65</v>
      </c>
    </row>
    <row r="16" spans="1:22" ht="16.5" customHeight="1" x14ac:dyDescent="0.2">
      <c r="A16" s="45" t="str">
        <f ca="1">IFERROR(__xludf.DUMMYFUNCTION("""COMPUTED_VALUE"""),"Fick")</f>
        <v>Fick</v>
      </c>
      <c r="B16" s="46" t="str">
        <f ca="1">IFERROR(__xludf.DUMMYFUNCTION("""COMPUTED_VALUE"""),"Kobus")</f>
        <v>Kobus</v>
      </c>
      <c r="C16" s="31" t="str">
        <f ca="1">IFERROR(__xludf.DUMMYFUNCTION("""COMPUTED_VALUE"""),"LSC")</f>
        <v>LSC</v>
      </c>
      <c r="D16" s="47">
        <f ca="1">IFERROR(__xludf.DUMMYFUNCTION("""COMPUTED_VALUE"""),23489)</f>
        <v>23489</v>
      </c>
      <c r="E16" s="33">
        <f ca="1">IFERROR(__xludf.DUMMYFUNCTION("""COMPUTED_VALUE"""),61)</f>
        <v>61</v>
      </c>
      <c r="F16" s="46" t="str">
        <f ca="1">IFERROR(__xludf.DUMMYFUNCTION("""COMPUTED_VALUE"""),"fickjj@live.co.za")</f>
        <v>fickjj@live.co.za</v>
      </c>
      <c r="G16" s="49">
        <f ca="1">IFERROR(__xludf.DUMMYFUNCTION("""COMPUTED_VALUE"""),828214850)</f>
        <v>828214850</v>
      </c>
      <c r="H16" s="50">
        <f ca="1">IFERROR(__xludf.DUMMYFUNCTION("""COMPUTED_VALUE"""),2700294865)</f>
        <v>2700294865</v>
      </c>
      <c r="I16" s="46" t="str">
        <f ca="1">IFERROR(__xludf.DUMMYFUNCTION("""COMPUTED_VALUE"""),"Margate CC")</f>
        <v>Margate CC</v>
      </c>
      <c r="J16" s="47">
        <f ca="1">IFERROR(__xludf.DUMMYFUNCTION("""COMPUTED_VALUE"""),45967)</f>
        <v>45967</v>
      </c>
      <c r="K16" s="51">
        <f ca="1">IFERROR(__xludf.DUMMYFUNCTION("""COMPUTED_VALUE"""),1)</f>
        <v>1</v>
      </c>
      <c r="L16" s="52" t="b">
        <f ca="1">IFERROR(__xludf.DUMMYFUNCTION("""COMPUTED_VALUE"""),FALSE)</f>
        <v>0</v>
      </c>
      <c r="M16" s="52" t="b">
        <f ca="1">IFERROR(__xludf.DUMMYFUNCTION("""COMPUTED_VALUE"""),FALSE)</f>
        <v>0</v>
      </c>
      <c r="N16" s="52" t="b">
        <f ca="1">IFERROR(__xludf.DUMMYFUNCTION("""COMPUTED_VALUE"""),FALSE)</f>
        <v>0</v>
      </c>
      <c r="O16" s="52" t="b">
        <f ca="1">IFERROR(__xludf.DUMMYFUNCTION("""COMPUTED_VALUE"""),FALSE)</f>
        <v>0</v>
      </c>
      <c r="P16" s="52" t="b">
        <f ca="1">IFERROR(__xludf.DUMMYFUNCTION("""COMPUTED_VALUE"""),FALSE)</f>
        <v>0</v>
      </c>
      <c r="Q16" s="52" t="b">
        <f ca="1">IFERROR(__xludf.DUMMYFUNCTION("""COMPUTED_VALUE"""),FALSE)</f>
        <v>0</v>
      </c>
      <c r="R16" s="52" t="b">
        <f ca="1">IFERROR(__xludf.DUMMYFUNCTION("""COMPUTED_VALUE"""),FALSE)</f>
        <v>0</v>
      </c>
      <c r="S16" s="79"/>
      <c r="T16" s="80">
        <f ca="1">COUNTIFS($J$3:$J67,"&lt;"&amp;$S$2,$J$3:J67,"&gt;="&amp;$V$2,$E$3:$E67,"=80",$L$3:$L67, "False",$M$3:$M67, "false", $O$3:$O67, "False")</f>
        <v>0</v>
      </c>
      <c r="U16" s="81">
        <f ca="1">COUNTIFS($E$3:$E67,"&gt;=80",$M$3:$M67, "true")</f>
        <v>0</v>
      </c>
      <c r="V16" s="82">
        <f ca="1">IFERROR(__xludf.DUMMYFUNCTION("COUNTIFS(IMPORTRANGE(""1s2846PiD-LoyoBfLNsFuq7yw0hC7cgOYRj5xs7gtmso"",""MasterSheet!$C$3:$C""),""BOL"",IMPORTRANGE(""1s2846PiD-LoyoBfLNsFuq7yw0hC7cgOYRj5xs7gtmso"",""MasterSheet!E3:E""),""&lt;=81"",IMPORTRANGE(""1s2846PiD-LoyoBfLNsFuq7yw0hC7cgOYRj5xs7gtmso"""&amp;",""MasterSheet!$L$3:$L""),""False"",IMPORTRANGE(""1s2846PiD-LoyoBfLNsFuq7yw0hC7cgOYRj5xs7gtmso"",""MasterSheet!$M$3:$M""),""False"",IMPORTRANGE(""1s2846PiD-LoyoBfLNsFuq7yw0hC7cgOYRj5xs7gtmso"",""MasterSheet!$R$3:$R""),""True"")"),7)</f>
        <v>7</v>
      </c>
    </row>
    <row r="17" spans="1:22" ht="16.5" customHeight="1" x14ac:dyDescent="0.2">
      <c r="A17" s="57" t="str">
        <f ca="1">IFERROR(__xludf.DUMMYFUNCTION("""COMPUTED_VALUE"""),"Fick")</f>
        <v>Fick</v>
      </c>
      <c r="B17" s="34" t="str">
        <f ca="1">IFERROR(__xludf.DUMMYFUNCTION("""COMPUTED_VALUE"""),"Marianne")</f>
        <v>Marianne</v>
      </c>
      <c r="C17" s="31" t="str">
        <f ca="1">IFERROR(__xludf.DUMMYFUNCTION("""COMPUTED_VALUE"""),"LSC")</f>
        <v>LSC</v>
      </c>
      <c r="D17" s="32">
        <f ca="1">IFERROR(__xludf.DUMMYFUNCTION("""COMPUTED_VALUE"""),23777)</f>
        <v>23777</v>
      </c>
      <c r="E17" s="33">
        <f ca="1">IFERROR(__xludf.DUMMYFUNCTION("""COMPUTED_VALUE"""),61)</f>
        <v>61</v>
      </c>
      <c r="F17" s="34" t="str">
        <f ca="1">IFERROR(__xludf.DUMMYFUNCTION("""COMPUTED_VALUE"""),"mfick@live.co.za")</f>
        <v>mfick@live.co.za</v>
      </c>
      <c r="G17" s="35">
        <f ca="1">IFERROR(__xludf.DUMMYFUNCTION("""COMPUTED_VALUE"""),823762206)</f>
        <v>823762206</v>
      </c>
      <c r="H17" s="36">
        <f ca="1">IFERROR(__xludf.DUMMYFUNCTION("""COMPUTED_VALUE"""),2700465166)</f>
        <v>2700465166</v>
      </c>
      <c r="I17" s="34" t="str">
        <f ca="1">IFERROR(__xludf.DUMMYFUNCTION("""COMPUTED_VALUE"""),"Margate CC")</f>
        <v>Margate CC</v>
      </c>
      <c r="J17" s="32">
        <f ca="1">IFERROR(__xludf.DUMMYFUNCTION("""COMPUTED_VALUE"""),45967)</f>
        <v>45967</v>
      </c>
      <c r="K17" s="37">
        <f ca="1">IFERROR(__xludf.DUMMYFUNCTION("""COMPUTED_VALUE"""),1)</f>
        <v>1</v>
      </c>
      <c r="L17" s="38" t="b">
        <f ca="1">IFERROR(__xludf.DUMMYFUNCTION("""COMPUTED_VALUE"""),FALSE)</f>
        <v>0</v>
      </c>
      <c r="M17" s="38" t="b">
        <f ca="1">IFERROR(__xludf.DUMMYFUNCTION("""COMPUTED_VALUE"""),FALSE)</f>
        <v>0</v>
      </c>
      <c r="N17" s="38" t="b">
        <f ca="1">IFERROR(__xludf.DUMMYFUNCTION("""COMPUTED_VALUE"""),FALSE)</f>
        <v>0</v>
      </c>
      <c r="O17" s="38" t="b">
        <f ca="1">IFERROR(__xludf.DUMMYFUNCTION("""COMPUTED_VALUE"""),FALSE)</f>
        <v>0</v>
      </c>
      <c r="P17" s="38" t="b">
        <f ca="1">IFERROR(__xludf.DUMMYFUNCTION("""COMPUTED_VALUE"""),TRUE)</f>
        <v>1</v>
      </c>
      <c r="Q17" s="40" t="b">
        <f ca="1">IFERROR(__xludf.DUMMYFUNCTION("""COMPUTED_VALUE"""),FALSE)</f>
        <v>0</v>
      </c>
      <c r="R17" s="83" t="b">
        <f ca="1">IFERROR(__xludf.DUMMYFUNCTION("""COMPUTED_VALUE"""),FALSE)</f>
        <v>0</v>
      </c>
      <c r="S17" s="41" t="s">
        <v>33</v>
      </c>
      <c r="T17" s="42" t="s">
        <v>34</v>
      </c>
      <c r="U17" s="84" t="s">
        <v>35</v>
      </c>
      <c r="V17" s="44" t="s">
        <v>21</v>
      </c>
    </row>
    <row r="18" spans="1:22" ht="16.5" customHeight="1" thickBot="1" x14ac:dyDescent="0.25">
      <c r="A18" s="45" t="str">
        <f ca="1">IFERROR(__xludf.DUMMYFUNCTION("""COMPUTED_VALUE"""),"Flemmer")</f>
        <v>Flemmer</v>
      </c>
      <c r="B18" s="46" t="str">
        <f ca="1">IFERROR(__xludf.DUMMYFUNCTION("""COMPUTED_VALUE"""),"Clive")</f>
        <v>Clive</v>
      </c>
      <c r="C18" s="31" t="str">
        <f ca="1">IFERROR(__xludf.DUMMYFUNCTION("""COMPUTED_VALUE"""),"LSC")</f>
        <v>LSC</v>
      </c>
      <c r="D18" s="47">
        <f ca="1">IFERROR(__xludf.DUMMYFUNCTION("""COMPUTED_VALUE"""),22790)</f>
        <v>22790</v>
      </c>
      <c r="E18" s="48">
        <f ca="1">IFERROR(__xludf.DUMMYFUNCTION("""COMPUTED_VALUE"""),63)</f>
        <v>63</v>
      </c>
      <c r="F18" s="46" t="str">
        <f ca="1">IFERROR(__xludf.DUMMYFUNCTION("""COMPUTED_VALUE"""),"cliveflemmer626@gmail.com")</f>
        <v>cliveflemmer626@gmail.com</v>
      </c>
      <c r="G18" s="49">
        <f ca="1">IFERROR(__xludf.DUMMYFUNCTION("""COMPUTED_VALUE"""),829562905)</f>
        <v>829562905</v>
      </c>
      <c r="H18" s="50">
        <f ca="1">IFERROR(__xludf.DUMMYFUNCTION("""COMPUTED_VALUE"""),2700095657)</f>
        <v>2700095657</v>
      </c>
      <c r="I18" s="46" t="str">
        <f ca="1">IFERROR(__xludf.DUMMYFUNCTION("""COMPUTED_VALUE"""),"Port Edward CC")</f>
        <v>Port Edward CC</v>
      </c>
      <c r="J18" s="47">
        <f ca="1">IFERROR(__xludf.DUMMYFUNCTION("""COMPUTED_VALUE"""),46051)</f>
        <v>46051</v>
      </c>
      <c r="K18" s="51">
        <f ca="1">IFERROR(__xludf.DUMMYFUNCTION("""COMPUTED_VALUE"""),0)</f>
        <v>0</v>
      </c>
      <c r="L18" s="52" t="b">
        <f ca="1">IFERROR(__xludf.DUMMYFUNCTION("""COMPUTED_VALUE"""),FALSE)</f>
        <v>0</v>
      </c>
      <c r="M18" s="52" t="b">
        <f ca="1">IFERROR(__xludf.DUMMYFUNCTION("""COMPUTED_VALUE"""),FALSE)</f>
        <v>0</v>
      </c>
      <c r="N18" s="52" t="b">
        <f ca="1">IFERROR(__xludf.DUMMYFUNCTION("""COMPUTED_VALUE"""),FALSE)</f>
        <v>0</v>
      </c>
      <c r="O18" s="52" t="b">
        <f ca="1">IFERROR(__xludf.DUMMYFUNCTION("""COMPUTED_VALUE"""),FALSE)</f>
        <v>0</v>
      </c>
      <c r="P18" s="52" t="b">
        <f ca="1">IFERROR(__xludf.DUMMYFUNCTION("""COMPUTED_VALUE"""),FALSE)</f>
        <v>0</v>
      </c>
      <c r="Q18" s="40" t="b">
        <f ca="1">IFERROR(__xludf.DUMMYFUNCTION("""COMPUTED_VALUE"""),FALSE)</f>
        <v>0</v>
      </c>
      <c r="R18" s="52" t="b">
        <f ca="1">IFERROR(__xludf.DUMMYFUNCTION("""COMPUTED_VALUE"""),FALSE)</f>
        <v>0</v>
      </c>
      <c r="S18" s="85" t="s">
        <v>36</v>
      </c>
      <c r="T18" s="86">
        <f ca="1">COUNTIFS($E$3:$E67,"&lt;80",$L$3:$L67, "False",  $M$3:$M67, "False", $O$3:$O67,"True", $Q$3:$Q67, "True")</f>
        <v>0</v>
      </c>
      <c r="U18" s="87">
        <f ca="1">COUNTIFS($E$3:$E67,"=80",$L$3:$L67, "False",  $M$3:$M67, "False")</f>
        <v>0</v>
      </c>
      <c r="V18" s="88">
        <f ca="1">SUM((V11-T18)*U20+(V14*U22)+(T18*U21))</f>
        <v>0</v>
      </c>
    </row>
    <row r="19" spans="1:22" ht="16.5" customHeight="1" thickTop="1" x14ac:dyDescent="0.2">
      <c r="A19" s="57" t="str">
        <f ca="1">IFERROR(__xludf.DUMMYFUNCTION("""COMPUTED_VALUE"""),"Fogwill")</f>
        <v>Fogwill</v>
      </c>
      <c r="B19" s="34" t="str">
        <f ca="1">IFERROR(__xludf.DUMMYFUNCTION("""COMPUTED_VALUE"""),"Norman")</f>
        <v>Norman</v>
      </c>
      <c r="C19" s="31" t="str">
        <f ca="1">IFERROR(__xludf.DUMMYFUNCTION("""COMPUTED_VALUE"""),"LSC")</f>
        <v>LSC</v>
      </c>
      <c r="D19" s="32">
        <f ca="1">IFERROR(__xludf.DUMMYFUNCTION("""COMPUTED_VALUE"""),21422)</f>
        <v>21422</v>
      </c>
      <c r="E19" s="89">
        <f ca="1">IFERROR(__xludf.DUMMYFUNCTION("""COMPUTED_VALUE"""),67)</f>
        <v>67</v>
      </c>
      <c r="F19" s="34" t="str">
        <f ca="1">IFERROR(__xludf.DUMMYFUNCTION("""COMPUTED_VALUE"""),"nc.fogwill@gmail.com")</f>
        <v>nc.fogwill@gmail.com</v>
      </c>
      <c r="G19" s="35">
        <f ca="1">IFERROR(__xludf.DUMMYFUNCTION("""COMPUTED_VALUE"""),832944273)</f>
        <v>832944273</v>
      </c>
      <c r="H19" s="36">
        <f ca="1">IFERROR(__xludf.DUMMYFUNCTION("""COMPUTED_VALUE"""),2700029594)</f>
        <v>2700029594</v>
      </c>
      <c r="I19" s="34" t="str">
        <f ca="1">IFERROR(__xludf.DUMMYFUNCTION("""COMPUTED_VALUE"""),"Margate CC")</f>
        <v>Margate CC</v>
      </c>
      <c r="J19" s="32">
        <f ca="1">IFERROR(__xludf.DUMMYFUNCTION("""COMPUTED_VALUE"""),45972)</f>
        <v>45972</v>
      </c>
      <c r="K19" s="37">
        <f ca="1">IFERROR(__xludf.DUMMYFUNCTION("""COMPUTED_VALUE"""),1)</f>
        <v>1</v>
      </c>
      <c r="L19" s="38" t="b">
        <f ca="1">IFERROR(__xludf.DUMMYFUNCTION("""COMPUTED_VALUE"""),FALSE)</f>
        <v>0</v>
      </c>
      <c r="M19" s="38" t="b">
        <f ca="1">IFERROR(__xludf.DUMMYFUNCTION("""COMPUTED_VALUE"""),FALSE)</f>
        <v>0</v>
      </c>
      <c r="N19" s="38" t="b">
        <f ca="1">IFERROR(__xludf.DUMMYFUNCTION("""COMPUTED_VALUE"""),FALSE)</f>
        <v>0</v>
      </c>
      <c r="O19" s="38" t="b">
        <f ca="1">IFERROR(__xludf.DUMMYFUNCTION("""COMPUTED_VALUE"""),FALSE)</f>
        <v>0</v>
      </c>
      <c r="P19" s="38" t="b">
        <f ca="1">IFERROR(__xludf.DUMMYFUNCTION("""COMPUTED_VALUE"""),FALSE)</f>
        <v>0</v>
      </c>
      <c r="Q19" s="38" t="b">
        <f ca="1">IFERROR(__xludf.DUMMYFUNCTION("""COMPUTED_VALUE"""),FALSE)</f>
        <v>0</v>
      </c>
      <c r="R19" s="38" t="b">
        <f ca="1">IFERROR(__xludf.DUMMYFUNCTION("""COMPUTED_VALUE"""),FALSE)</f>
        <v>0</v>
      </c>
      <c r="S19" s="90" t="s">
        <v>37</v>
      </c>
      <c r="T19" s="91"/>
      <c r="U19" s="92"/>
      <c r="V19" s="93">
        <v>13680</v>
      </c>
    </row>
    <row r="20" spans="1:22" ht="16.5" customHeight="1" x14ac:dyDescent="0.2">
      <c r="A20" s="45" t="str">
        <f ca="1">IFERROR(__xludf.DUMMYFUNCTION("""COMPUTED_VALUE"""),"Fogwill")</f>
        <v>Fogwill</v>
      </c>
      <c r="B20" s="46" t="str">
        <f ca="1">IFERROR(__xludf.DUMMYFUNCTION("""COMPUTED_VALUE"""),"Moira")</f>
        <v>Moira</v>
      </c>
      <c r="C20" s="31" t="str">
        <f ca="1">IFERROR(__xludf.DUMMYFUNCTION("""COMPUTED_VALUE"""),"LSC")</f>
        <v>LSC</v>
      </c>
      <c r="D20" s="47">
        <f ca="1">IFERROR(__xludf.DUMMYFUNCTION("""COMPUTED_VALUE"""),23345)</f>
        <v>23345</v>
      </c>
      <c r="E20" s="48">
        <f ca="1">IFERROR(__xludf.DUMMYFUNCTION("""COMPUTED_VALUE"""),62)</f>
        <v>62</v>
      </c>
      <c r="F20" s="46" t="str">
        <f ca="1">IFERROR(__xludf.DUMMYFUNCTION("""COMPUTED_VALUE"""),"moira.fogwill@gmail.com")</f>
        <v>moira.fogwill@gmail.com</v>
      </c>
      <c r="G20" s="49">
        <f ca="1">IFERROR(__xludf.DUMMYFUNCTION("""COMPUTED_VALUE"""),834075587)</f>
        <v>834075587</v>
      </c>
      <c r="H20" s="50">
        <f ca="1">IFERROR(__xludf.DUMMYFUNCTION("""COMPUTED_VALUE"""),2700029491)</f>
        <v>2700029491</v>
      </c>
      <c r="I20" s="46" t="str">
        <f ca="1">IFERROR(__xludf.DUMMYFUNCTION("""COMPUTED_VALUE"""),"Margate CC")</f>
        <v>Margate CC</v>
      </c>
      <c r="J20" s="47">
        <f ca="1">IFERROR(__xludf.DUMMYFUNCTION("""COMPUTED_VALUE"""),45972)</f>
        <v>45972</v>
      </c>
      <c r="K20" s="51">
        <f ca="1">IFERROR(__xludf.DUMMYFUNCTION("""COMPUTED_VALUE"""),1)</f>
        <v>1</v>
      </c>
      <c r="L20" s="52" t="b">
        <f ca="1">IFERROR(__xludf.DUMMYFUNCTION("""COMPUTED_VALUE"""),FALSE)</f>
        <v>0</v>
      </c>
      <c r="M20" s="52" t="b">
        <f ca="1">IFERROR(__xludf.DUMMYFUNCTION("""COMPUTED_VALUE"""),FALSE)</f>
        <v>0</v>
      </c>
      <c r="N20" s="52" t="b">
        <f ca="1">IFERROR(__xludf.DUMMYFUNCTION("""COMPUTED_VALUE"""),FALSE)</f>
        <v>0</v>
      </c>
      <c r="O20" s="52" t="b">
        <f ca="1">IFERROR(__xludf.DUMMYFUNCTION("""COMPUTED_VALUE"""),FALSE)</f>
        <v>0</v>
      </c>
      <c r="P20" s="52" t="b">
        <f ca="1">IFERROR(__xludf.DUMMYFUNCTION("""COMPUTED_VALUE"""),TRUE)</f>
        <v>1</v>
      </c>
      <c r="Q20" s="40" t="b">
        <f ca="1">IFERROR(__xludf.DUMMYFUNCTION("""COMPUTED_VALUE"""),FALSE)</f>
        <v>0</v>
      </c>
      <c r="R20" s="52" t="b">
        <f ca="1">IFERROR(__xludf.DUMMYFUNCTION("""COMPUTED_VALUE"""),FALSE)</f>
        <v>0</v>
      </c>
      <c r="S20" s="94" t="s">
        <v>38</v>
      </c>
      <c r="T20" s="95">
        <f ca="1">V10-T21</f>
        <v>61</v>
      </c>
      <c r="U20" s="96">
        <f ca="1">IFERROR(__xludf.DUMMYFUNCTION("IMPORTRANGE(""1ARPuSxvb35Qf5WCV6A_HHR6z7iwKbmEgbNrs8X48FXc"",""Levies!D2"")"),90)</f>
        <v>90</v>
      </c>
      <c r="V20" s="97">
        <f ca="1">SUM(T20*U20)</f>
        <v>5490</v>
      </c>
    </row>
    <row r="21" spans="1:22" ht="16.5" customHeight="1" x14ac:dyDescent="0.2">
      <c r="A21" s="29" t="str">
        <f ca="1">IFERROR(__xludf.DUMMYFUNCTION("""COMPUTED_VALUE"""),"Foster")</f>
        <v>Foster</v>
      </c>
      <c r="B21" s="30" t="str">
        <f ca="1">IFERROR(__xludf.DUMMYFUNCTION("""COMPUTED_VALUE"""),"Steve")</f>
        <v>Steve</v>
      </c>
      <c r="C21" s="31" t="str">
        <f ca="1">IFERROR(__xludf.DUMMYFUNCTION("""COMPUTED_VALUE"""),"LSC")</f>
        <v>LSC</v>
      </c>
      <c r="D21" s="32">
        <f ca="1">IFERROR(__xludf.DUMMYFUNCTION("""COMPUTED_VALUE"""),22497)</f>
        <v>22497</v>
      </c>
      <c r="E21" s="33">
        <f ca="1">IFERROR(__xludf.DUMMYFUNCTION("""COMPUTED_VALUE"""),64)</f>
        <v>64</v>
      </c>
      <c r="F21" s="34" t="str">
        <f ca="1">IFERROR(__xludf.DUMMYFUNCTION("""COMPUTED_VALUE"""),"sfoster4861@gmail.com")</f>
        <v>sfoster4861@gmail.com</v>
      </c>
      <c r="G21" s="35">
        <f ca="1">IFERROR(__xludf.DUMMYFUNCTION("""COMPUTED_VALUE"""),603330196)</f>
        <v>603330196</v>
      </c>
      <c r="H21" s="36">
        <f ca="1">IFERROR(__xludf.DUMMYFUNCTION("""COMPUTED_VALUE"""),2700068214)</f>
        <v>2700068214</v>
      </c>
      <c r="I21" s="34" t="str">
        <f ca="1">IFERROR(__xludf.DUMMYFUNCTION("""COMPUTED_VALUE"""),"Port Edward CC")</f>
        <v>Port Edward CC</v>
      </c>
      <c r="J21" s="32">
        <f ca="1">IFERROR(__xludf.DUMMYFUNCTION("""COMPUTED_VALUE"""),46051)</f>
        <v>46051</v>
      </c>
      <c r="K21" s="37">
        <f ca="1">IFERROR(__xludf.DUMMYFUNCTION("""COMPUTED_VALUE"""),0)</f>
        <v>0</v>
      </c>
      <c r="L21" s="38" t="b">
        <f ca="1">IFERROR(__xludf.DUMMYFUNCTION("""COMPUTED_VALUE"""),FALSE)</f>
        <v>0</v>
      </c>
      <c r="M21" s="38" t="b">
        <f ca="1">IFERROR(__xludf.DUMMYFUNCTION("""COMPUTED_VALUE"""),FALSE)</f>
        <v>0</v>
      </c>
      <c r="N21" s="38" t="b">
        <f ca="1">IFERROR(__xludf.DUMMYFUNCTION("""COMPUTED_VALUE"""),FALSE)</f>
        <v>0</v>
      </c>
      <c r="O21" s="38" t="b">
        <f ca="1">IFERROR(__xludf.DUMMYFUNCTION("""COMPUTED_VALUE"""),FALSE)</f>
        <v>0</v>
      </c>
      <c r="P21" s="39" t="b">
        <f ca="1">IFERROR(__xludf.DUMMYFUNCTION("""COMPUTED_VALUE"""),FALSE)</f>
        <v>0</v>
      </c>
      <c r="Q21" s="40" t="b">
        <f ca="1">IFERROR(__xludf.DUMMYFUNCTION("""COMPUTED_VALUE"""),FALSE)</f>
        <v>0</v>
      </c>
      <c r="R21" s="38" t="b">
        <f ca="1">IFERROR(__xludf.DUMMYFUNCTION("""COMPUTED_VALUE"""),FALSE)</f>
        <v>0</v>
      </c>
      <c r="S21" s="90" t="s">
        <v>39</v>
      </c>
      <c r="T21" s="95">
        <f ca="1">COUNTIFS($E$3:$E67,"&lt;80",$L$3:$L67, "False",$M$3:$M67, "False", $O$3:$O67, "TRUE")</f>
        <v>0</v>
      </c>
      <c r="U21" s="96">
        <f ca="1">IFERROR(__xludf.DUMMYFUNCTION("IMPORTRANGE(""1ARPuSxvb35Qf5WCV6A_HHR6z7iwKbmEgbNrs8X48FXc"",""Levies!G2"")"),90)</f>
        <v>90</v>
      </c>
      <c r="V21" s="97">
        <f ca="1">SUM(T21*U21)</f>
        <v>0</v>
      </c>
    </row>
    <row r="22" spans="1:22" ht="16.5" customHeight="1" x14ac:dyDescent="0.2">
      <c r="A22" s="6" t="str">
        <f ca="1">IFERROR(__xludf.DUMMYFUNCTION("""COMPUTED_VALUE"""),"Fourie")</f>
        <v>Fourie</v>
      </c>
      <c r="B22" s="1" t="str">
        <f ca="1">IFERROR(__xludf.DUMMYFUNCTION("""COMPUTED_VALUE"""),"Grace")</f>
        <v>Grace</v>
      </c>
      <c r="C22" s="2" t="str">
        <f ca="1">IFERROR(__xludf.DUMMYFUNCTION("""COMPUTED_VALUE"""),"LSC")</f>
        <v>LSC</v>
      </c>
      <c r="D22" s="3">
        <f ca="1">IFERROR(__xludf.DUMMYFUNCTION("""COMPUTED_VALUE"""),22768)</f>
        <v>22768</v>
      </c>
      <c r="E22" s="4">
        <f ca="1">IFERROR(__xludf.DUMMYFUNCTION("""COMPUTED_VALUE"""),63)</f>
        <v>63</v>
      </c>
      <c r="F22" s="1" t="str">
        <f ca="1">IFERROR(__xludf.DUMMYFUNCTION("""COMPUTED_VALUE"""),"sportschool@worldonline.co.za")</f>
        <v>sportschool@worldonline.co.za</v>
      </c>
      <c r="G22" s="5">
        <f ca="1">IFERROR(__xludf.DUMMYFUNCTION("""COMPUTED_VALUE"""),825645252)</f>
        <v>825645252</v>
      </c>
      <c r="H22" s="4">
        <f ca="1">IFERROR(__xludf.DUMMYFUNCTION("""COMPUTED_VALUE"""),2700041106)</f>
        <v>2700041106</v>
      </c>
      <c r="I22" s="1" t="str">
        <f ca="1">IFERROR(__xludf.DUMMYFUNCTION("""COMPUTED_VALUE"""),"Margate CC")</f>
        <v>Margate CC</v>
      </c>
      <c r="J22" s="3">
        <f ca="1">IFERROR(__xludf.DUMMYFUNCTION("""COMPUTED_VALUE"""),46071)</f>
        <v>46071</v>
      </c>
      <c r="K22" s="7">
        <f ca="1">IFERROR(__xludf.DUMMYFUNCTION("""COMPUTED_VALUE"""),0)</f>
        <v>0</v>
      </c>
      <c r="L22" s="98" t="b">
        <f ca="1">IFERROR(__xludf.DUMMYFUNCTION("""COMPUTED_VALUE"""),FALSE)</f>
        <v>0</v>
      </c>
      <c r="M22" s="98" t="b">
        <f ca="1">IFERROR(__xludf.DUMMYFUNCTION("""COMPUTED_VALUE"""),FALSE)</f>
        <v>0</v>
      </c>
      <c r="N22" s="98" t="b">
        <f ca="1">IFERROR(__xludf.DUMMYFUNCTION("""COMPUTED_VALUE"""),FALSE)</f>
        <v>0</v>
      </c>
      <c r="O22" s="98" t="b">
        <f ca="1">IFERROR(__xludf.DUMMYFUNCTION("""COMPUTED_VALUE"""),FALSE)</f>
        <v>0</v>
      </c>
      <c r="P22" s="98" t="b">
        <f ca="1">IFERROR(__xludf.DUMMYFUNCTION("""COMPUTED_VALUE"""),TRUE)</f>
        <v>1</v>
      </c>
      <c r="Q22" s="98" t="b">
        <f ca="1">IFERROR(__xludf.DUMMYFUNCTION("""COMPUTED_VALUE"""),FALSE)</f>
        <v>0</v>
      </c>
      <c r="R22" s="98" t="b">
        <f ca="1">IFERROR(__xludf.DUMMYFUNCTION("""COMPUTED_VALUE"""),FALSE)</f>
        <v>0</v>
      </c>
      <c r="S22" s="98"/>
      <c r="T22" s="98"/>
      <c r="U22" s="98"/>
      <c r="V22" s="98"/>
    </row>
    <row r="23" spans="1:22" ht="16.5" customHeight="1" x14ac:dyDescent="0.2">
      <c r="A23" s="6" t="str">
        <f ca="1">IFERROR(__xludf.DUMMYFUNCTION("""COMPUTED_VALUE"""),"Ghingai")</f>
        <v>Ghingai</v>
      </c>
      <c r="B23" s="1" t="str">
        <f ca="1">IFERROR(__xludf.DUMMYFUNCTION("""COMPUTED_VALUE"""),"Sew")</f>
        <v>Sew</v>
      </c>
      <c r="C23" s="2" t="str">
        <f ca="1">IFERROR(__xludf.DUMMYFUNCTION("""COMPUTED_VALUE"""),"LSC")</f>
        <v>LSC</v>
      </c>
      <c r="D23" s="3">
        <f ca="1">IFERROR(__xludf.DUMMYFUNCTION("""COMPUTED_VALUE"""),18130)</f>
        <v>18130</v>
      </c>
      <c r="E23" s="4">
        <f ca="1">IFERROR(__xludf.DUMMYFUNCTION("""COMPUTED_VALUE"""),76)</f>
        <v>76</v>
      </c>
      <c r="F23" s="1" t="str">
        <f ca="1">IFERROR(__xludf.DUMMYFUNCTION("""COMPUTED_VALUE"""),"ghingai@gmail.com")</f>
        <v>ghingai@gmail.com</v>
      </c>
      <c r="G23" s="5">
        <f ca="1">IFERROR(__xludf.DUMMYFUNCTION("""COMPUTED_VALUE"""),834498438)</f>
        <v>834498438</v>
      </c>
      <c r="H23" s="4">
        <f ca="1">IFERROR(__xludf.DUMMYFUNCTION("""COMPUTED_VALUE"""),2700427395)</f>
        <v>2700427395</v>
      </c>
      <c r="I23" s="1" t="str">
        <f ca="1">IFERROR(__xludf.DUMMYFUNCTION("""COMPUTED_VALUE"""),"Port Shepstone CC")</f>
        <v>Port Shepstone CC</v>
      </c>
      <c r="J23" s="3">
        <f ca="1">IFERROR(__xludf.DUMMYFUNCTION("""COMPUTED_VALUE"""),45947)</f>
        <v>45947</v>
      </c>
      <c r="K23" s="7">
        <f ca="1">IFERROR(__xludf.DUMMYFUNCTION("""COMPUTED_VALUE"""),1)</f>
        <v>1</v>
      </c>
      <c r="L23" s="98" t="b">
        <f ca="1">IFERROR(__xludf.DUMMYFUNCTION("""COMPUTED_VALUE"""),FALSE)</f>
        <v>0</v>
      </c>
      <c r="M23" s="98" t="b">
        <f ca="1">IFERROR(__xludf.DUMMYFUNCTION("""COMPUTED_VALUE"""),FALSE)</f>
        <v>0</v>
      </c>
      <c r="N23" s="98" t="b">
        <f ca="1">IFERROR(__xludf.DUMMYFUNCTION("""COMPUTED_VALUE"""),FALSE)</f>
        <v>0</v>
      </c>
      <c r="O23" s="98" t="b">
        <f ca="1">IFERROR(__xludf.DUMMYFUNCTION("""COMPUTED_VALUE"""),FALSE)</f>
        <v>0</v>
      </c>
      <c r="P23" s="98" t="b">
        <f ca="1">IFERROR(__xludf.DUMMYFUNCTION("""COMPUTED_VALUE"""),FALSE)</f>
        <v>0</v>
      </c>
      <c r="Q23" s="98" t="b">
        <f ca="1">IFERROR(__xludf.DUMMYFUNCTION("""COMPUTED_VALUE"""),FALSE)</f>
        <v>0</v>
      </c>
      <c r="R23" s="98" t="b">
        <f ca="1">IFERROR(__xludf.DUMMYFUNCTION("""COMPUTED_VALUE"""),FALSE)</f>
        <v>0</v>
      </c>
      <c r="S23" s="98"/>
      <c r="T23" s="98"/>
      <c r="U23" s="98"/>
      <c r="V23" s="98"/>
    </row>
    <row r="24" spans="1:22" ht="16.5" customHeight="1" x14ac:dyDescent="0.2">
      <c r="A24" s="6" t="str">
        <f ca="1">IFERROR(__xludf.DUMMYFUNCTION("""COMPUTED_VALUE"""),"Govender")</f>
        <v>Govender</v>
      </c>
      <c r="B24" s="1" t="str">
        <f ca="1">IFERROR(__xludf.DUMMYFUNCTION("""COMPUTED_VALUE"""),"Vasie")</f>
        <v>Vasie</v>
      </c>
      <c r="C24" s="2" t="str">
        <f ca="1">IFERROR(__xludf.DUMMYFUNCTION("""COMPUTED_VALUE"""),"LSC")</f>
        <v>LSC</v>
      </c>
      <c r="D24" s="3"/>
      <c r="E24" s="4"/>
      <c r="F24" s="1"/>
      <c r="G24" s="5"/>
      <c r="H24" s="4">
        <f ca="1">IFERROR(__xludf.DUMMYFUNCTION("""COMPUTED_VALUE"""),2700086480)</f>
        <v>2700086480</v>
      </c>
      <c r="I24" s="1"/>
      <c r="J24" s="3"/>
      <c r="K24" s="7">
        <f ca="1">IFERROR(__xludf.DUMMYFUNCTION("""COMPUTED_VALUE"""),127)</f>
        <v>127</v>
      </c>
      <c r="L24" s="98" t="b">
        <f ca="1">IFERROR(__xludf.DUMMYFUNCTION("""COMPUTED_VALUE"""),FALSE)</f>
        <v>0</v>
      </c>
      <c r="M24" s="98" t="b">
        <f ca="1">IFERROR(__xludf.DUMMYFUNCTION("""COMPUTED_VALUE"""),FALSE)</f>
        <v>0</v>
      </c>
      <c r="N24" s="98" t="b">
        <f ca="1">IFERROR(__xludf.DUMMYFUNCTION("""COMPUTED_VALUE"""),FALSE)</f>
        <v>0</v>
      </c>
      <c r="O24" s="98" t="b">
        <f ca="1">IFERROR(__xludf.DUMMYFUNCTION("""COMPUTED_VALUE"""),FALSE)</f>
        <v>0</v>
      </c>
      <c r="P24" s="98" t="b">
        <f ca="1">IFERROR(__xludf.DUMMYFUNCTION("""COMPUTED_VALUE"""),FALSE)</f>
        <v>0</v>
      </c>
      <c r="Q24" s="98" t="b">
        <f ca="1">IFERROR(__xludf.DUMMYFUNCTION("""COMPUTED_VALUE"""),FALSE)</f>
        <v>0</v>
      </c>
      <c r="R24" s="98" t="b">
        <f ca="1">IFERROR(__xludf.DUMMYFUNCTION("""COMPUTED_VALUE"""),FALSE)</f>
        <v>0</v>
      </c>
      <c r="S24" s="98"/>
      <c r="T24" s="98"/>
      <c r="U24" s="98"/>
      <c r="V24" s="98"/>
    </row>
    <row r="25" spans="1:22" ht="16.5" customHeight="1" x14ac:dyDescent="0.2">
      <c r="A25" s="6" t="str">
        <f ca="1">IFERROR(__xludf.DUMMYFUNCTION("""COMPUTED_VALUE"""),"Holmes")</f>
        <v>Holmes</v>
      </c>
      <c r="B25" s="1" t="str">
        <f ca="1">IFERROR(__xludf.DUMMYFUNCTION("""COMPUTED_VALUE"""),"Bruce")</f>
        <v>Bruce</v>
      </c>
      <c r="C25" s="2" t="str">
        <f ca="1">IFERROR(__xludf.DUMMYFUNCTION("""COMPUTED_VALUE"""),"LSC")</f>
        <v>LSC</v>
      </c>
      <c r="D25" s="3">
        <f ca="1">IFERROR(__xludf.DUMMYFUNCTION("""COMPUTED_VALUE"""),20201)</f>
        <v>20201</v>
      </c>
      <c r="E25" s="4">
        <f ca="1">IFERROR(__xludf.DUMMYFUNCTION("""COMPUTED_VALUE"""),70)</f>
        <v>70</v>
      </c>
      <c r="F25" s="1" t="str">
        <f ca="1">IFERROR(__xludf.DUMMYFUNCTION("""COMPUTED_VALUE"""),"holmes.brucev@gmail.com")</f>
        <v>holmes.brucev@gmail.com</v>
      </c>
      <c r="G25" s="5">
        <f ca="1">IFERROR(__xludf.DUMMYFUNCTION("""COMPUTED_VALUE"""),832898408)</f>
        <v>832898408</v>
      </c>
      <c r="H25" s="4">
        <f ca="1">IFERROR(__xludf.DUMMYFUNCTION("""COMPUTED_VALUE"""),2700292669)</f>
        <v>2700292669</v>
      </c>
      <c r="I25" s="1" t="str">
        <f ca="1">IFERROR(__xludf.DUMMYFUNCTION("""COMPUTED_VALUE"""),"Port Shepstone CC")</f>
        <v>Port Shepstone CC</v>
      </c>
      <c r="J25" s="3">
        <f ca="1">IFERROR(__xludf.DUMMYFUNCTION("""COMPUTED_VALUE"""),45792)</f>
        <v>45792</v>
      </c>
      <c r="K25" s="7">
        <f ca="1">IFERROR(__xludf.DUMMYFUNCTION("""COMPUTED_VALUE"""),1)</f>
        <v>1</v>
      </c>
      <c r="L25" s="98" t="b">
        <f ca="1">IFERROR(__xludf.DUMMYFUNCTION("""COMPUTED_VALUE"""),FALSE)</f>
        <v>0</v>
      </c>
      <c r="M25" s="98" t="b">
        <f ca="1">IFERROR(__xludf.DUMMYFUNCTION("""COMPUTED_VALUE"""),FALSE)</f>
        <v>0</v>
      </c>
      <c r="N25" s="98" t="b">
        <f ca="1">IFERROR(__xludf.DUMMYFUNCTION("""COMPUTED_VALUE"""),FALSE)</f>
        <v>0</v>
      </c>
      <c r="O25" s="98" t="b">
        <f ca="1">IFERROR(__xludf.DUMMYFUNCTION("""COMPUTED_VALUE"""),FALSE)</f>
        <v>0</v>
      </c>
      <c r="P25" s="98" t="b">
        <f ca="1">IFERROR(__xludf.DUMMYFUNCTION("""COMPUTED_VALUE"""),FALSE)</f>
        <v>0</v>
      </c>
      <c r="Q25" s="98" t="b">
        <f ca="1">IFERROR(__xludf.DUMMYFUNCTION("""COMPUTED_VALUE"""),FALSE)</f>
        <v>0</v>
      </c>
      <c r="R25" s="98" t="b">
        <f ca="1">IFERROR(__xludf.DUMMYFUNCTION("""COMPUTED_VALUE"""),FALSE)</f>
        <v>0</v>
      </c>
      <c r="S25" s="98"/>
      <c r="T25" s="98"/>
      <c r="U25" s="98"/>
      <c r="V25" s="98"/>
    </row>
    <row r="26" spans="1:22" ht="16.5" customHeight="1" x14ac:dyDescent="0.2">
      <c r="A26" s="6" t="str">
        <f ca="1">IFERROR(__xludf.DUMMYFUNCTION("""COMPUTED_VALUE"""),"Holmes")</f>
        <v>Holmes</v>
      </c>
      <c r="B26" s="1" t="str">
        <f ca="1">IFERROR(__xludf.DUMMYFUNCTION("""COMPUTED_VALUE"""),"Shane")</f>
        <v>Shane</v>
      </c>
      <c r="C26" s="2" t="str">
        <f ca="1">IFERROR(__xludf.DUMMYFUNCTION("""COMPUTED_VALUE"""),"LSC")</f>
        <v>LSC</v>
      </c>
      <c r="D26" s="3">
        <f ca="1">IFERROR(__xludf.DUMMYFUNCTION("""COMPUTED_VALUE"""),21706)</f>
        <v>21706</v>
      </c>
      <c r="E26" s="4">
        <f ca="1">IFERROR(__xludf.DUMMYFUNCTION("""COMPUTED_VALUE"""),66)</f>
        <v>66</v>
      </c>
      <c r="F26" s="1" t="str">
        <f ca="1">IFERROR(__xludf.DUMMYFUNCTION("""COMPUTED_VALUE"""),"braaipack455@gmail.com")</f>
        <v>braaipack455@gmail.com</v>
      </c>
      <c r="G26" s="5">
        <f ca="1">IFERROR(__xludf.DUMMYFUNCTION("""COMPUTED_VALUE"""),719830716)</f>
        <v>719830716</v>
      </c>
      <c r="H26" s="4">
        <f ca="1">IFERROR(__xludf.DUMMYFUNCTION("""COMPUTED_VALUE"""),2700146165)</f>
        <v>2700146165</v>
      </c>
      <c r="I26" s="1" t="str">
        <f ca="1">IFERROR(__xludf.DUMMYFUNCTION("""COMPUTED_VALUE"""),"Port Edward CC")</f>
        <v>Port Edward CC</v>
      </c>
      <c r="J26" s="3">
        <f ca="1">IFERROR(__xludf.DUMMYFUNCTION("""COMPUTED_VALUE"""),46051)</f>
        <v>46051</v>
      </c>
      <c r="K26" s="7">
        <f ca="1">IFERROR(__xludf.DUMMYFUNCTION("""COMPUTED_VALUE"""),0)</f>
        <v>0</v>
      </c>
      <c r="L26" s="98" t="b">
        <f ca="1">IFERROR(__xludf.DUMMYFUNCTION("""COMPUTED_VALUE"""),FALSE)</f>
        <v>0</v>
      </c>
      <c r="M26" s="98" t="b">
        <f ca="1">IFERROR(__xludf.DUMMYFUNCTION("""COMPUTED_VALUE"""),FALSE)</f>
        <v>0</v>
      </c>
      <c r="N26" s="98" t="b">
        <f ca="1">IFERROR(__xludf.DUMMYFUNCTION("""COMPUTED_VALUE"""),FALSE)</f>
        <v>0</v>
      </c>
      <c r="O26" s="98" t="b">
        <f ca="1">IFERROR(__xludf.DUMMYFUNCTION("""COMPUTED_VALUE"""),FALSE)</f>
        <v>0</v>
      </c>
      <c r="P26" s="98" t="b">
        <f ca="1">IFERROR(__xludf.DUMMYFUNCTION("""COMPUTED_VALUE"""),FALSE)</f>
        <v>0</v>
      </c>
      <c r="Q26" s="98" t="b">
        <f ca="1">IFERROR(__xludf.DUMMYFUNCTION("""COMPUTED_VALUE"""),FALSE)</f>
        <v>0</v>
      </c>
      <c r="R26" s="98" t="b">
        <f ca="1">IFERROR(__xludf.DUMMYFUNCTION("""COMPUTED_VALUE"""),FALSE)</f>
        <v>0</v>
      </c>
      <c r="S26" s="98"/>
      <c r="T26" s="98"/>
      <c r="U26" s="98"/>
      <c r="V26" s="98"/>
    </row>
    <row r="27" spans="1:22" ht="16.5" customHeight="1" x14ac:dyDescent="0.2">
      <c r="A27" s="6" t="str">
        <f ca="1">IFERROR(__xludf.DUMMYFUNCTION("""COMPUTED_VALUE"""),"Howarth")</f>
        <v>Howarth</v>
      </c>
      <c r="B27" s="1" t="str">
        <f ca="1">IFERROR(__xludf.DUMMYFUNCTION("""COMPUTED_VALUE"""),"Peter")</f>
        <v>Peter</v>
      </c>
      <c r="C27" s="2" t="str">
        <f ca="1">IFERROR(__xludf.DUMMYFUNCTION("""COMPUTED_VALUE"""),"LSC")</f>
        <v>LSC</v>
      </c>
      <c r="D27" s="3">
        <f ca="1">IFERROR(__xludf.DUMMYFUNCTION("""COMPUTED_VALUE"""),17265)</f>
        <v>17265</v>
      </c>
      <c r="E27" s="4">
        <f ca="1">IFERROR(__xludf.DUMMYFUNCTION("""COMPUTED_VALUE"""),78)</f>
        <v>78</v>
      </c>
      <c r="F27" s="1" t="str">
        <f ca="1">IFERROR(__xludf.DUMMYFUNCTION("""COMPUTED_VALUE"""),"peternicoleh.64@gmail.com")</f>
        <v>peternicoleh.64@gmail.com</v>
      </c>
      <c r="G27" s="5">
        <f ca="1">IFERROR(__xludf.DUMMYFUNCTION("""COMPUTED_VALUE"""),765883454)</f>
        <v>765883454</v>
      </c>
      <c r="H27" s="4">
        <f ca="1">IFERROR(__xludf.DUMMYFUNCTION("""COMPUTED_VALUE"""),2700189220)</f>
        <v>2700189220</v>
      </c>
      <c r="I27" s="1" t="str">
        <f ca="1">IFERROR(__xludf.DUMMYFUNCTION("""COMPUTED_VALUE"""),"Port Edward CC")</f>
        <v>Port Edward CC</v>
      </c>
      <c r="J27" s="3">
        <f ca="1">IFERROR(__xludf.DUMMYFUNCTION("""COMPUTED_VALUE"""),46051)</f>
        <v>46051</v>
      </c>
      <c r="K27" s="7">
        <f ca="1">IFERROR(__xludf.DUMMYFUNCTION("""COMPUTED_VALUE"""),0)</f>
        <v>0</v>
      </c>
      <c r="L27" s="98" t="b">
        <f ca="1">IFERROR(__xludf.DUMMYFUNCTION("""COMPUTED_VALUE"""),FALSE)</f>
        <v>0</v>
      </c>
      <c r="M27" s="98" t="b">
        <f ca="1">IFERROR(__xludf.DUMMYFUNCTION("""COMPUTED_VALUE"""),FALSE)</f>
        <v>0</v>
      </c>
      <c r="N27" s="98" t="b">
        <f ca="1">IFERROR(__xludf.DUMMYFUNCTION("""COMPUTED_VALUE"""),FALSE)</f>
        <v>0</v>
      </c>
      <c r="O27" s="98" t="b">
        <f ca="1">IFERROR(__xludf.DUMMYFUNCTION("""COMPUTED_VALUE"""),FALSE)</f>
        <v>0</v>
      </c>
      <c r="P27" s="98" t="b">
        <f ca="1">IFERROR(__xludf.DUMMYFUNCTION("""COMPUTED_VALUE"""),FALSE)</f>
        <v>0</v>
      </c>
      <c r="Q27" s="98" t="b">
        <f ca="1">IFERROR(__xludf.DUMMYFUNCTION("""COMPUTED_VALUE"""),FALSE)</f>
        <v>0</v>
      </c>
      <c r="R27" s="98" t="b">
        <f ca="1">IFERROR(__xludf.DUMMYFUNCTION("""COMPUTED_VALUE"""),FALSE)</f>
        <v>0</v>
      </c>
      <c r="S27" s="98"/>
      <c r="T27" s="98"/>
      <c r="U27" s="98"/>
      <c r="V27" s="98"/>
    </row>
    <row r="28" spans="1:22" ht="16.5" customHeight="1" x14ac:dyDescent="0.2">
      <c r="A28" s="6" t="str">
        <f ca="1">IFERROR(__xludf.DUMMYFUNCTION("""COMPUTED_VALUE"""),"Howden")</f>
        <v>Howden</v>
      </c>
      <c r="B28" s="1" t="str">
        <f ca="1">IFERROR(__xludf.DUMMYFUNCTION("""COMPUTED_VALUE"""),"Dawn")</f>
        <v>Dawn</v>
      </c>
      <c r="C28" s="2" t="str">
        <f ca="1">IFERROR(__xludf.DUMMYFUNCTION("""COMPUTED_VALUE"""),"LSC")</f>
        <v>LSC</v>
      </c>
      <c r="D28" s="3">
        <f ca="1">IFERROR(__xludf.DUMMYFUNCTION("""COMPUTED_VALUE"""),23299)</f>
        <v>23299</v>
      </c>
      <c r="E28" s="4">
        <f ca="1">IFERROR(__xludf.DUMMYFUNCTION("""COMPUTED_VALUE"""),62)</f>
        <v>62</v>
      </c>
      <c r="F28" s="1" t="str">
        <f ca="1">IFERROR(__xludf.DUMMYFUNCTION("""COMPUTED_VALUE"""),"howdendawn@gmail.com")</f>
        <v>howdendawn@gmail.com</v>
      </c>
      <c r="G28" s="5">
        <f ca="1">IFERROR(__xludf.DUMMYFUNCTION("""COMPUTED_VALUE"""),835531135)</f>
        <v>835531135</v>
      </c>
      <c r="H28" s="4">
        <f ca="1">IFERROR(__xludf.DUMMYFUNCTION("""COMPUTED_VALUE"""),2700377302)</f>
        <v>2700377302</v>
      </c>
      <c r="I28" s="1" t="str">
        <f ca="1">IFERROR(__xludf.DUMMYFUNCTION("""COMPUTED_VALUE"""),"Margate CC")</f>
        <v>Margate CC</v>
      </c>
      <c r="J28" s="3">
        <f ca="1">IFERROR(__xludf.DUMMYFUNCTION("""COMPUTED_VALUE"""),45951)</f>
        <v>45951</v>
      </c>
      <c r="K28" s="7">
        <f ca="1">IFERROR(__xludf.DUMMYFUNCTION("""COMPUTED_VALUE"""),1)</f>
        <v>1</v>
      </c>
      <c r="L28" s="98" t="b">
        <f ca="1">IFERROR(__xludf.DUMMYFUNCTION("""COMPUTED_VALUE"""),FALSE)</f>
        <v>0</v>
      </c>
      <c r="M28" s="98" t="b">
        <f ca="1">IFERROR(__xludf.DUMMYFUNCTION("""COMPUTED_VALUE"""),FALSE)</f>
        <v>0</v>
      </c>
      <c r="N28" s="98" t="b">
        <f ca="1">IFERROR(__xludf.DUMMYFUNCTION("""COMPUTED_VALUE"""),FALSE)</f>
        <v>0</v>
      </c>
      <c r="O28" s="98" t="b">
        <f ca="1">IFERROR(__xludf.DUMMYFUNCTION("""COMPUTED_VALUE"""),FALSE)</f>
        <v>0</v>
      </c>
      <c r="P28" s="98" t="b">
        <f ca="1">IFERROR(__xludf.DUMMYFUNCTION("""COMPUTED_VALUE"""),TRUE)</f>
        <v>1</v>
      </c>
      <c r="Q28" s="98" t="b">
        <f ca="1">IFERROR(__xludf.DUMMYFUNCTION("""COMPUTED_VALUE"""),FALSE)</f>
        <v>0</v>
      </c>
      <c r="R28" s="98" t="b">
        <f ca="1">IFERROR(__xludf.DUMMYFUNCTION("""COMPUTED_VALUE"""),FALSE)</f>
        <v>0</v>
      </c>
      <c r="S28" s="98"/>
      <c r="T28" s="98"/>
      <c r="U28" s="98"/>
      <c r="V28" s="98"/>
    </row>
    <row r="29" spans="1:22" ht="16.5" customHeight="1" x14ac:dyDescent="0.2">
      <c r="A29" s="6" t="str">
        <f ca="1">IFERROR(__xludf.DUMMYFUNCTION("""COMPUTED_VALUE"""),"Howden")</f>
        <v>Howden</v>
      </c>
      <c r="B29" s="1" t="str">
        <f ca="1">IFERROR(__xludf.DUMMYFUNCTION("""COMPUTED_VALUE"""),"Kim")</f>
        <v>Kim</v>
      </c>
      <c r="C29" s="2" t="str">
        <f ca="1">IFERROR(__xludf.DUMMYFUNCTION("""COMPUTED_VALUE"""),"LSC")</f>
        <v>LSC</v>
      </c>
      <c r="D29" s="3">
        <f ca="1">IFERROR(__xludf.DUMMYFUNCTION("""COMPUTED_VALUE"""),22721)</f>
        <v>22721</v>
      </c>
      <c r="E29" s="4">
        <f ca="1">IFERROR(__xludf.DUMMYFUNCTION("""COMPUTED_VALUE"""),63)</f>
        <v>63</v>
      </c>
      <c r="F29" s="1" t="str">
        <f ca="1">IFERROR(__xludf.DUMMYFUNCTION("""COMPUTED_VALUE"""),"kimhowden1@gmail.com")</f>
        <v>kimhowden1@gmail.com</v>
      </c>
      <c r="G29" s="5">
        <f ca="1">IFERROR(__xludf.DUMMYFUNCTION("""COMPUTED_VALUE"""),827812496)</f>
        <v>827812496</v>
      </c>
      <c r="H29" s="4">
        <f ca="1">IFERROR(__xludf.DUMMYFUNCTION("""COMPUTED_VALUE"""),2700377303)</f>
        <v>2700377303</v>
      </c>
      <c r="I29" s="1" t="str">
        <f ca="1">IFERROR(__xludf.DUMMYFUNCTION("""COMPUTED_VALUE"""),"Margate CC")</f>
        <v>Margate CC</v>
      </c>
      <c r="J29" s="3">
        <f ca="1">IFERROR(__xludf.DUMMYFUNCTION("""COMPUTED_VALUE"""),45951)</f>
        <v>45951</v>
      </c>
      <c r="K29" s="7">
        <f ca="1">IFERROR(__xludf.DUMMYFUNCTION("""COMPUTED_VALUE"""),1)</f>
        <v>1</v>
      </c>
      <c r="L29" s="98" t="b">
        <f ca="1">IFERROR(__xludf.DUMMYFUNCTION("""COMPUTED_VALUE"""),FALSE)</f>
        <v>0</v>
      </c>
      <c r="M29" s="98" t="b">
        <f ca="1">IFERROR(__xludf.DUMMYFUNCTION("""COMPUTED_VALUE"""),FALSE)</f>
        <v>0</v>
      </c>
      <c r="N29" s="98" t="b">
        <f ca="1">IFERROR(__xludf.DUMMYFUNCTION("""COMPUTED_VALUE"""),FALSE)</f>
        <v>0</v>
      </c>
      <c r="O29" s="98" t="b">
        <f ca="1">IFERROR(__xludf.DUMMYFUNCTION("""COMPUTED_VALUE"""),FALSE)</f>
        <v>0</v>
      </c>
      <c r="P29" s="98" t="b">
        <f ca="1">IFERROR(__xludf.DUMMYFUNCTION("""COMPUTED_VALUE"""),FALSE)</f>
        <v>0</v>
      </c>
      <c r="Q29" s="98" t="b">
        <f ca="1">IFERROR(__xludf.DUMMYFUNCTION("""COMPUTED_VALUE"""),FALSE)</f>
        <v>0</v>
      </c>
      <c r="R29" s="98" t="b">
        <f ca="1">IFERROR(__xludf.DUMMYFUNCTION("""COMPUTED_VALUE"""),FALSE)</f>
        <v>0</v>
      </c>
      <c r="S29" s="98"/>
      <c r="T29" s="98"/>
      <c r="U29" s="98"/>
      <c r="V29" s="98"/>
    </row>
    <row r="30" spans="1:22" ht="16.5" customHeight="1" x14ac:dyDescent="0.2">
      <c r="A30" s="6" t="str">
        <f ca="1">IFERROR(__xludf.DUMMYFUNCTION("""COMPUTED_VALUE"""),"Hulley")</f>
        <v>Hulley</v>
      </c>
      <c r="B30" s="1" t="str">
        <f ca="1">IFERROR(__xludf.DUMMYFUNCTION("""COMPUTED_VALUE"""),"Jen")</f>
        <v>Jen</v>
      </c>
      <c r="C30" s="2" t="str">
        <f ca="1">IFERROR(__xludf.DUMMYFUNCTION("""COMPUTED_VALUE"""),"LSC")</f>
        <v>LSC</v>
      </c>
      <c r="D30" s="3">
        <f ca="1">IFERROR(__xludf.DUMMYFUNCTION("""COMPUTED_VALUE"""),22039)</f>
        <v>22039</v>
      </c>
      <c r="E30" s="4">
        <f ca="1">IFERROR(__xludf.DUMMYFUNCTION("""COMPUTED_VALUE"""),65)</f>
        <v>65</v>
      </c>
      <c r="F30" s="1" t="str">
        <f ca="1">IFERROR(__xludf.DUMMYFUNCTION("""COMPUTED_VALUE"""),"jhulleyrsa@gmail.com")</f>
        <v>jhulleyrsa@gmail.com</v>
      </c>
      <c r="G30" s="5">
        <f ca="1">IFERROR(__xludf.DUMMYFUNCTION("""COMPUTED_VALUE"""),827092223)</f>
        <v>827092223</v>
      </c>
      <c r="H30" s="4">
        <f ca="1">IFERROR(__xludf.DUMMYFUNCTION("""COMPUTED_VALUE"""),2700270543)</f>
        <v>2700270543</v>
      </c>
      <c r="I30" s="1" t="str">
        <f ca="1">IFERROR(__xludf.DUMMYFUNCTION("""COMPUTED_VALUE"""),"Port Shepstone CC")</f>
        <v>Port Shepstone CC</v>
      </c>
      <c r="J30" s="3">
        <f ca="1">IFERROR(__xludf.DUMMYFUNCTION("""COMPUTED_VALUE"""),45933)</f>
        <v>45933</v>
      </c>
      <c r="K30" s="7">
        <f ca="1">IFERROR(__xludf.DUMMYFUNCTION("""COMPUTED_VALUE"""),1)</f>
        <v>1</v>
      </c>
      <c r="L30" s="98" t="b">
        <f ca="1">IFERROR(__xludf.DUMMYFUNCTION("""COMPUTED_VALUE"""),FALSE)</f>
        <v>0</v>
      </c>
      <c r="M30" s="98" t="b">
        <f ca="1">IFERROR(__xludf.DUMMYFUNCTION("""COMPUTED_VALUE"""),FALSE)</f>
        <v>0</v>
      </c>
      <c r="N30" s="98" t="b">
        <f ca="1">IFERROR(__xludf.DUMMYFUNCTION("""COMPUTED_VALUE"""),FALSE)</f>
        <v>0</v>
      </c>
      <c r="O30" s="98" t="b">
        <f ca="1">IFERROR(__xludf.DUMMYFUNCTION("""COMPUTED_VALUE"""),FALSE)</f>
        <v>0</v>
      </c>
      <c r="P30" s="98" t="b">
        <f ca="1">IFERROR(__xludf.DUMMYFUNCTION("""COMPUTED_VALUE"""),TRUE)</f>
        <v>1</v>
      </c>
      <c r="Q30" s="98" t="b">
        <f ca="1">IFERROR(__xludf.DUMMYFUNCTION("""COMPUTED_VALUE"""),FALSE)</f>
        <v>0</v>
      </c>
      <c r="R30" s="98" t="b">
        <f ca="1">IFERROR(__xludf.DUMMYFUNCTION("""COMPUTED_VALUE"""),FALSE)</f>
        <v>0</v>
      </c>
      <c r="S30" s="98"/>
      <c r="T30" s="98"/>
      <c r="U30" s="98"/>
      <c r="V30" s="98"/>
    </row>
    <row r="31" spans="1:22" ht="16.5" customHeight="1" x14ac:dyDescent="0.2">
      <c r="A31" s="6" t="str">
        <f ca="1">IFERROR(__xludf.DUMMYFUNCTION("""COMPUTED_VALUE"""),"Jacobsz")</f>
        <v>Jacobsz</v>
      </c>
      <c r="B31" s="1" t="str">
        <f ca="1">IFERROR(__xludf.DUMMYFUNCTION("""COMPUTED_VALUE"""),"David")</f>
        <v>David</v>
      </c>
      <c r="C31" s="2" t="str">
        <f ca="1">IFERROR(__xludf.DUMMYFUNCTION("""COMPUTED_VALUE"""),"LSC")</f>
        <v>LSC</v>
      </c>
      <c r="D31" s="3">
        <f ca="1">IFERROR(__xludf.DUMMYFUNCTION("""COMPUTED_VALUE"""),19993)</f>
        <v>19993</v>
      </c>
      <c r="E31" s="4">
        <f ca="1">IFERROR(__xludf.DUMMYFUNCTION("""COMPUTED_VALUE"""),71)</f>
        <v>71</v>
      </c>
      <c r="F31" s="1" t="str">
        <f ca="1">IFERROR(__xludf.DUMMYFUNCTION("""COMPUTED_VALUE"""),"dhjacobsz@absamail.co.za")</f>
        <v>dhjacobsz@absamail.co.za</v>
      </c>
      <c r="G31" s="5">
        <f ca="1">IFERROR(__xludf.DUMMYFUNCTION("""COMPUTED_VALUE"""),829281156)</f>
        <v>829281156</v>
      </c>
      <c r="H31" s="4">
        <f ca="1">IFERROR(__xludf.DUMMYFUNCTION("""COMPUTED_VALUE"""),2700074637)</f>
        <v>2700074637</v>
      </c>
      <c r="I31" s="1" t="str">
        <f ca="1">IFERROR(__xludf.DUMMYFUNCTION("""COMPUTED_VALUE"""),"Margate CC")</f>
        <v>Margate CC</v>
      </c>
      <c r="J31" s="3">
        <f ca="1">IFERROR(__xludf.DUMMYFUNCTION("""COMPUTED_VALUE"""),45940)</f>
        <v>45940</v>
      </c>
      <c r="K31" s="7">
        <f ca="1">IFERROR(__xludf.DUMMYFUNCTION("""COMPUTED_VALUE"""),1)</f>
        <v>1</v>
      </c>
      <c r="L31" s="98" t="b">
        <f ca="1">IFERROR(__xludf.DUMMYFUNCTION("""COMPUTED_VALUE"""),FALSE)</f>
        <v>0</v>
      </c>
      <c r="M31" s="98" t="b">
        <f ca="1">IFERROR(__xludf.DUMMYFUNCTION("""COMPUTED_VALUE"""),FALSE)</f>
        <v>0</v>
      </c>
      <c r="N31" s="98" t="b">
        <f ca="1">IFERROR(__xludf.DUMMYFUNCTION("""COMPUTED_VALUE"""),FALSE)</f>
        <v>0</v>
      </c>
      <c r="O31" s="98" t="b">
        <f ca="1">IFERROR(__xludf.DUMMYFUNCTION("""COMPUTED_VALUE"""),FALSE)</f>
        <v>0</v>
      </c>
      <c r="P31" s="98" t="b">
        <f ca="1">IFERROR(__xludf.DUMMYFUNCTION("""COMPUTED_VALUE"""),FALSE)</f>
        <v>0</v>
      </c>
      <c r="Q31" s="98" t="b">
        <f ca="1">IFERROR(__xludf.DUMMYFUNCTION("""COMPUTED_VALUE"""),FALSE)</f>
        <v>0</v>
      </c>
      <c r="R31" s="98" t="b">
        <f ca="1">IFERROR(__xludf.DUMMYFUNCTION("""COMPUTED_VALUE"""),FALSE)</f>
        <v>0</v>
      </c>
      <c r="S31" s="98"/>
      <c r="T31" s="98"/>
      <c r="U31" s="98"/>
      <c r="V31" s="98"/>
    </row>
    <row r="32" spans="1:22" ht="16.5" customHeight="1" x14ac:dyDescent="0.2">
      <c r="A32" s="6" t="str">
        <f ca="1">IFERROR(__xludf.DUMMYFUNCTION("""COMPUTED_VALUE"""),"Johnston")</f>
        <v>Johnston</v>
      </c>
      <c r="B32" s="1" t="str">
        <f ca="1">IFERROR(__xludf.DUMMYFUNCTION("""COMPUTED_VALUE"""),"Sandi")</f>
        <v>Sandi</v>
      </c>
      <c r="C32" s="2" t="str">
        <f ca="1">IFERROR(__xludf.DUMMYFUNCTION("""COMPUTED_VALUE"""),"LSC")</f>
        <v>LSC</v>
      </c>
      <c r="D32" s="3">
        <f ca="1">IFERROR(__xludf.DUMMYFUNCTION("""COMPUTED_VALUE"""),20894)</f>
        <v>20894</v>
      </c>
      <c r="E32" s="4">
        <f ca="1">IFERROR(__xludf.DUMMYFUNCTION("""COMPUTED_VALUE"""),68)</f>
        <v>68</v>
      </c>
      <c r="F32" s="1" t="str">
        <f ca="1">IFERROR(__xludf.DUMMYFUNCTION("""COMPUTED_VALUE"""),"geckomoon@telkomsa.net")</f>
        <v>geckomoon@telkomsa.net</v>
      </c>
      <c r="G32" s="5">
        <f ca="1">IFERROR(__xludf.DUMMYFUNCTION("""COMPUTED_VALUE"""),826021640)</f>
        <v>826021640</v>
      </c>
      <c r="H32" s="4">
        <f ca="1">IFERROR(__xludf.DUMMYFUNCTION("""COMPUTED_VALUE"""),2700103660)</f>
        <v>2700103660</v>
      </c>
      <c r="I32" s="1" t="str">
        <f ca="1">IFERROR(__xludf.DUMMYFUNCTION("""COMPUTED_VALUE"""),"Margate CC")</f>
        <v>Margate CC</v>
      </c>
      <c r="J32" s="3">
        <f ca="1">IFERROR(__xludf.DUMMYFUNCTION("""COMPUTED_VALUE"""),45944)</f>
        <v>45944</v>
      </c>
      <c r="K32" s="7">
        <f ca="1">IFERROR(__xludf.DUMMYFUNCTION("""COMPUTED_VALUE"""),1)</f>
        <v>1</v>
      </c>
      <c r="L32" s="98" t="b">
        <f ca="1">IFERROR(__xludf.DUMMYFUNCTION("""COMPUTED_VALUE"""),FALSE)</f>
        <v>0</v>
      </c>
      <c r="M32" s="98" t="b">
        <f ca="1">IFERROR(__xludf.DUMMYFUNCTION("""COMPUTED_VALUE"""),FALSE)</f>
        <v>0</v>
      </c>
      <c r="N32" s="98" t="b">
        <f ca="1">IFERROR(__xludf.DUMMYFUNCTION("""COMPUTED_VALUE"""),FALSE)</f>
        <v>0</v>
      </c>
      <c r="O32" s="98" t="b">
        <f ca="1">IFERROR(__xludf.DUMMYFUNCTION("""COMPUTED_VALUE"""),FALSE)</f>
        <v>0</v>
      </c>
      <c r="P32" s="98" t="b">
        <f ca="1">IFERROR(__xludf.DUMMYFUNCTION("""COMPUTED_VALUE"""),TRUE)</f>
        <v>1</v>
      </c>
      <c r="Q32" s="98" t="b">
        <f ca="1">IFERROR(__xludf.DUMMYFUNCTION("""COMPUTED_VALUE"""),FALSE)</f>
        <v>0</v>
      </c>
      <c r="R32" s="98" t="b">
        <f ca="1">IFERROR(__xludf.DUMMYFUNCTION("""COMPUTED_VALUE"""),FALSE)</f>
        <v>0</v>
      </c>
      <c r="S32" s="98"/>
      <c r="T32" s="98"/>
      <c r="U32" s="98"/>
      <c r="V32" s="98"/>
    </row>
    <row r="33" spans="1:22" ht="16.5" customHeight="1" x14ac:dyDescent="0.2">
      <c r="A33" s="6" t="str">
        <f ca="1">IFERROR(__xludf.DUMMYFUNCTION("""COMPUTED_VALUE"""),"Johnston")</f>
        <v>Johnston</v>
      </c>
      <c r="B33" s="1" t="str">
        <f ca="1">IFERROR(__xludf.DUMMYFUNCTION("""COMPUTED_VALUE"""),"Doug")</f>
        <v>Doug</v>
      </c>
      <c r="C33" s="2" t="str">
        <f ca="1">IFERROR(__xludf.DUMMYFUNCTION("""COMPUTED_VALUE"""),"LSC")</f>
        <v>LSC</v>
      </c>
      <c r="D33" s="3">
        <f ca="1">IFERROR(__xludf.DUMMYFUNCTION("""COMPUTED_VALUE"""),19035)</f>
        <v>19035</v>
      </c>
      <c r="E33" s="4">
        <f ca="1">IFERROR(__xludf.DUMMYFUNCTION("""COMPUTED_VALUE"""),74)</f>
        <v>74</v>
      </c>
      <c r="F33" s="1" t="str">
        <f ca="1">IFERROR(__xludf.DUMMYFUNCTION("""COMPUTED_VALUE"""),"douglasj@telkomsa.net")</f>
        <v>douglasj@telkomsa.net</v>
      </c>
      <c r="G33" s="5">
        <f ca="1">IFERROR(__xludf.DUMMYFUNCTION("""COMPUTED_VALUE"""),833883310)</f>
        <v>833883310</v>
      </c>
      <c r="H33" s="4">
        <f ca="1">IFERROR(__xludf.DUMMYFUNCTION("""COMPUTED_VALUE"""),2700103924)</f>
        <v>2700103924</v>
      </c>
      <c r="I33" s="1" t="str">
        <f ca="1">IFERROR(__xludf.DUMMYFUNCTION("""COMPUTED_VALUE"""),"Drak Gardens")</f>
        <v>Drak Gardens</v>
      </c>
      <c r="J33" s="3">
        <f ca="1">IFERROR(__xludf.DUMMYFUNCTION("""COMPUTED_VALUE"""),46056)</f>
        <v>46056</v>
      </c>
      <c r="K33" s="7">
        <f ca="1">IFERROR(__xludf.DUMMYFUNCTION("""COMPUTED_VALUE"""),0)</f>
        <v>0</v>
      </c>
      <c r="L33" s="98" t="b">
        <f ca="1">IFERROR(__xludf.DUMMYFUNCTION("""COMPUTED_VALUE"""),FALSE)</f>
        <v>0</v>
      </c>
      <c r="M33" s="98" t="b">
        <f ca="1">IFERROR(__xludf.DUMMYFUNCTION("""COMPUTED_VALUE"""),FALSE)</f>
        <v>0</v>
      </c>
      <c r="N33" s="98" t="b">
        <f ca="1">IFERROR(__xludf.DUMMYFUNCTION("""COMPUTED_VALUE"""),FALSE)</f>
        <v>0</v>
      </c>
      <c r="O33" s="98" t="b">
        <f ca="1">IFERROR(__xludf.DUMMYFUNCTION("""COMPUTED_VALUE"""),FALSE)</f>
        <v>0</v>
      </c>
      <c r="P33" s="98" t="b">
        <f ca="1">IFERROR(__xludf.DUMMYFUNCTION("""COMPUTED_VALUE"""),FALSE)</f>
        <v>0</v>
      </c>
      <c r="Q33" s="98" t="b">
        <f ca="1">IFERROR(__xludf.DUMMYFUNCTION("""COMPUTED_VALUE"""),FALSE)</f>
        <v>0</v>
      </c>
      <c r="R33" s="98" t="b">
        <f ca="1">IFERROR(__xludf.DUMMYFUNCTION("""COMPUTED_VALUE"""),FALSE)</f>
        <v>0</v>
      </c>
      <c r="S33" s="98"/>
      <c r="T33" s="98"/>
      <c r="U33" s="98"/>
      <c r="V33" s="98"/>
    </row>
    <row r="34" spans="1:22" ht="16.5" customHeight="1" x14ac:dyDescent="0.2">
      <c r="A34" s="6" t="str">
        <f ca="1">IFERROR(__xludf.DUMMYFUNCTION("""COMPUTED_VALUE"""),"Jordaan")</f>
        <v>Jordaan</v>
      </c>
      <c r="B34" s="1" t="str">
        <f ca="1">IFERROR(__xludf.DUMMYFUNCTION("""COMPUTED_VALUE"""),"Willem")</f>
        <v>Willem</v>
      </c>
      <c r="C34" s="2" t="str">
        <f ca="1">IFERROR(__xludf.DUMMYFUNCTION("""COMPUTED_VALUE"""),"LSC")</f>
        <v>LSC</v>
      </c>
      <c r="D34" s="3">
        <f ca="1">IFERROR(__xludf.DUMMYFUNCTION("""COMPUTED_VALUE"""),20875)</f>
        <v>20875</v>
      </c>
      <c r="E34" s="4">
        <f ca="1">IFERROR(__xludf.DUMMYFUNCTION("""COMPUTED_VALUE"""),69)</f>
        <v>69</v>
      </c>
      <c r="F34" s="1" t="str">
        <f ca="1">IFERROR(__xludf.DUMMYFUNCTION("""COMPUTED_VALUE"""),"wimpie.jordaan@yahoo.com")</f>
        <v>wimpie.jordaan@yahoo.com</v>
      </c>
      <c r="G34" s="5">
        <f ca="1">IFERROR(__xludf.DUMMYFUNCTION("""COMPUTED_VALUE"""),823661300)</f>
        <v>823661300</v>
      </c>
      <c r="H34" s="4">
        <f ca="1">IFERROR(__xludf.DUMMYFUNCTION("""COMPUTED_VALUE"""),2700048012)</f>
        <v>2700048012</v>
      </c>
      <c r="I34" s="1" t="str">
        <f ca="1">IFERROR(__xludf.DUMMYFUNCTION("""COMPUTED_VALUE"""),"Margate CC")</f>
        <v>Margate CC</v>
      </c>
      <c r="J34" s="3">
        <f ca="1">IFERROR(__xludf.DUMMYFUNCTION("""COMPUTED_VALUE"""),45877)</f>
        <v>45877</v>
      </c>
      <c r="K34" s="7">
        <f ca="1">IFERROR(__xludf.DUMMYFUNCTION("""COMPUTED_VALUE"""),1)</f>
        <v>1</v>
      </c>
      <c r="L34" s="98" t="b">
        <f ca="1">IFERROR(__xludf.DUMMYFUNCTION("""COMPUTED_VALUE"""),FALSE)</f>
        <v>0</v>
      </c>
      <c r="M34" s="98" t="b">
        <f ca="1">IFERROR(__xludf.DUMMYFUNCTION("""COMPUTED_VALUE"""),FALSE)</f>
        <v>0</v>
      </c>
      <c r="N34" s="98" t="b">
        <f ca="1">IFERROR(__xludf.DUMMYFUNCTION("""COMPUTED_VALUE"""),FALSE)</f>
        <v>0</v>
      </c>
      <c r="O34" s="98" t="b">
        <f ca="1">IFERROR(__xludf.DUMMYFUNCTION("""COMPUTED_VALUE"""),FALSE)</f>
        <v>0</v>
      </c>
      <c r="P34" s="98" t="b">
        <f ca="1">IFERROR(__xludf.DUMMYFUNCTION("""COMPUTED_VALUE"""),FALSE)</f>
        <v>0</v>
      </c>
      <c r="Q34" s="98" t="b">
        <f ca="1">IFERROR(__xludf.DUMMYFUNCTION("""COMPUTED_VALUE"""),FALSE)</f>
        <v>0</v>
      </c>
      <c r="R34" s="98" t="b">
        <f ca="1">IFERROR(__xludf.DUMMYFUNCTION("""COMPUTED_VALUE"""),FALSE)</f>
        <v>0</v>
      </c>
      <c r="S34" s="98"/>
      <c r="T34" s="98"/>
      <c r="U34" s="98"/>
      <c r="V34" s="98"/>
    </row>
    <row r="35" spans="1:22" ht="16.5" customHeight="1" x14ac:dyDescent="0.2">
      <c r="A35" s="6" t="str">
        <f ca="1">IFERROR(__xludf.DUMMYFUNCTION("""COMPUTED_VALUE"""),"Joubert")</f>
        <v>Joubert</v>
      </c>
      <c r="B35" s="1" t="str">
        <f ca="1">IFERROR(__xludf.DUMMYFUNCTION("""COMPUTED_VALUE"""),"Joep")</f>
        <v>Joep</v>
      </c>
      <c r="C35" s="2" t="str">
        <f ca="1">IFERROR(__xludf.DUMMYFUNCTION("""COMPUTED_VALUE"""),"LSC")</f>
        <v>LSC</v>
      </c>
      <c r="D35" s="3">
        <f ca="1">IFERROR(__xludf.DUMMYFUNCTION("""COMPUTED_VALUE"""),20304)</f>
        <v>20304</v>
      </c>
      <c r="E35" s="4">
        <f ca="1">IFERROR(__xludf.DUMMYFUNCTION("""COMPUTED_VALUE"""),70)</f>
        <v>70</v>
      </c>
      <c r="F35" s="1" t="str">
        <f ca="1">IFERROR(__xludf.DUMMYFUNCTION("""COMPUTED_VALUE"""),"bjhjoubert@gmail.com")</f>
        <v>bjhjoubert@gmail.com</v>
      </c>
      <c r="G35" s="5">
        <f ca="1">IFERROR(__xludf.DUMMYFUNCTION("""COMPUTED_VALUE"""),829203184)</f>
        <v>829203184</v>
      </c>
      <c r="H35" s="4">
        <f ca="1">IFERROR(__xludf.DUMMYFUNCTION("""COMPUTED_VALUE"""),2700431260)</f>
        <v>2700431260</v>
      </c>
      <c r="I35" s="1" t="str">
        <f ca="1">IFERROR(__xludf.DUMMYFUNCTION("""COMPUTED_VALUE"""),"Margate CC")</f>
        <v>Margate CC</v>
      </c>
      <c r="J35" s="3">
        <f ca="1">IFERROR(__xludf.DUMMYFUNCTION("""COMPUTED_VALUE"""),45960)</f>
        <v>45960</v>
      </c>
      <c r="K35" s="7">
        <f ca="1">IFERROR(__xludf.DUMMYFUNCTION("""COMPUTED_VALUE"""),1)</f>
        <v>1</v>
      </c>
      <c r="L35" s="98" t="b">
        <f ca="1">IFERROR(__xludf.DUMMYFUNCTION("""COMPUTED_VALUE"""),FALSE)</f>
        <v>0</v>
      </c>
      <c r="M35" s="98" t="b">
        <f ca="1">IFERROR(__xludf.DUMMYFUNCTION("""COMPUTED_VALUE"""),FALSE)</f>
        <v>0</v>
      </c>
      <c r="N35" s="98" t="b">
        <f ca="1">IFERROR(__xludf.DUMMYFUNCTION("""COMPUTED_VALUE"""),FALSE)</f>
        <v>0</v>
      </c>
      <c r="O35" s="98" t="b">
        <f ca="1">IFERROR(__xludf.DUMMYFUNCTION("""COMPUTED_VALUE"""),FALSE)</f>
        <v>0</v>
      </c>
      <c r="P35" s="98" t="b">
        <f ca="1">IFERROR(__xludf.DUMMYFUNCTION("""COMPUTED_VALUE"""),FALSE)</f>
        <v>0</v>
      </c>
      <c r="Q35" s="98" t="b">
        <f ca="1">IFERROR(__xludf.DUMMYFUNCTION("""COMPUTED_VALUE"""),FALSE)</f>
        <v>0</v>
      </c>
      <c r="R35" s="98" t="b">
        <f ca="1">IFERROR(__xludf.DUMMYFUNCTION("""COMPUTED_VALUE"""),FALSE)</f>
        <v>0</v>
      </c>
      <c r="S35" s="98"/>
      <c r="T35" s="98"/>
      <c r="U35" s="98"/>
      <c r="V35" s="98"/>
    </row>
    <row r="36" spans="1:22" ht="16.5" customHeight="1" x14ac:dyDescent="0.2">
      <c r="A36" s="6" t="str">
        <f ca="1">IFERROR(__xludf.DUMMYFUNCTION("""COMPUTED_VALUE"""),"Kankowski")</f>
        <v>Kankowski</v>
      </c>
      <c r="B36" s="1" t="str">
        <f ca="1">IFERROR(__xludf.DUMMYFUNCTION("""COMPUTED_VALUE"""),"Big B")</f>
        <v>Big B</v>
      </c>
      <c r="C36" s="2" t="str">
        <f ca="1">IFERROR(__xludf.DUMMYFUNCTION("""COMPUTED_VALUE"""),"LSC")</f>
        <v>LSC</v>
      </c>
      <c r="D36" s="3">
        <f ca="1">IFERROR(__xludf.DUMMYFUNCTION("""COMPUTED_VALUE"""),22729)</f>
        <v>22729</v>
      </c>
      <c r="E36" s="4">
        <f ca="1">IFERROR(__xludf.DUMMYFUNCTION("""COMPUTED_VALUE"""),63)</f>
        <v>63</v>
      </c>
      <c r="F36" s="1" t="str">
        <f ca="1">IFERROR(__xludf.DUMMYFUNCTION("""COMPUTED_VALUE"""),"kankowskibernd@gmail.com")</f>
        <v>kankowskibernd@gmail.com</v>
      </c>
      <c r="G36" s="5">
        <f ca="1">IFERROR(__xludf.DUMMYFUNCTION("""COMPUTED_VALUE"""),824559212)</f>
        <v>824559212</v>
      </c>
      <c r="H36" s="4"/>
      <c r="I36" s="1" t="str">
        <f ca="1">IFERROR(__xludf.DUMMYFUNCTION("""COMPUTED_VALUE"""),"Drakensberg Gardens (appl.)")</f>
        <v>Drakensberg Gardens (appl.)</v>
      </c>
      <c r="J36" s="3">
        <f ca="1">IFERROR(__xludf.DUMMYFUNCTION("""COMPUTED_VALUE"""),45964)</f>
        <v>45964</v>
      </c>
      <c r="K36" s="7">
        <f ca="1">IFERROR(__xludf.DUMMYFUNCTION("""COMPUTED_VALUE"""),1)</f>
        <v>1</v>
      </c>
      <c r="L36" s="98" t="b">
        <f ca="1">IFERROR(__xludf.DUMMYFUNCTION("""COMPUTED_VALUE"""),FALSE)</f>
        <v>0</v>
      </c>
      <c r="M36" s="98" t="b">
        <f ca="1">IFERROR(__xludf.DUMMYFUNCTION("""COMPUTED_VALUE"""),FALSE)</f>
        <v>0</v>
      </c>
      <c r="N36" s="98" t="b">
        <f ca="1">IFERROR(__xludf.DUMMYFUNCTION("""COMPUTED_VALUE"""),FALSE)</f>
        <v>0</v>
      </c>
      <c r="O36" s="98" t="b">
        <f ca="1">IFERROR(__xludf.DUMMYFUNCTION("""COMPUTED_VALUE"""),FALSE)</f>
        <v>0</v>
      </c>
      <c r="P36" s="98" t="b">
        <f ca="1">IFERROR(__xludf.DUMMYFUNCTION("""COMPUTED_VALUE"""),FALSE)</f>
        <v>0</v>
      </c>
      <c r="Q36" s="98" t="b">
        <f ca="1">IFERROR(__xludf.DUMMYFUNCTION("""COMPUTED_VALUE"""),FALSE)</f>
        <v>0</v>
      </c>
      <c r="R36" s="98" t="b">
        <f ca="1">IFERROR(__xludf.DUMMYFUNCTION("""COMPUTED_VALUE"""),FALSE)</f>
        <v>0</v>
      </c>
      <c r="S36" s="98"/>
      <c r="T36" s="98"/>
      <c r="U36" s="98"/>
      <c r="V36" s="98"/>
    </row>
    <row r="37" spans="1:22" ht="16.5" customHeight="1" x14ac:dyDescent="0.2">
      <c r="A37" s="6" t="str">
        <f ca="1">IFERROR(__xludf.DUMMYFUNCTION("""COMPUTED_VALUE"""),"King")</f>
        <v>King</v>
      </c>
      <c r="B37" s="1" t="str">
        <f ca="1">IFERROR(__xludf.DUMMYFUNCTION("""COMPUTED_VALUE"""),"Trevor")</f>
        <v>Trevor</v>
      </c>
      <c r="C37" s="2" t="str">
        <f ca="1">IFERROR(__xludf.DUMMYFUNCTION("""COMPUTED_VALUE"""),"LSC")</f>
        <v>LSC</v>
      </c>
      <c r="D37" s="3">
        <f ca="1">IFERROR(__xludf.DUMMYFUNCTION("""COMPUTED_VALUE"""),22325)</f>
        <v>22325</v>
      </c>
      <c r="E37" s="4">
        <f ca="1">IFERROR(__xludf.DUMMYFUNCTION("""COMPUTED_VALUE"""),65)</f>
        <v>65</v>
      </c>
      <c r="F37" s="1" t="str">
        <f ca="1">IFERROR(__xludf.DUMMYFUNCTION("""COMPUTED_VALUE"""),"tkingdbn@gmail.com")</f>
        <v>tkingdbn@gmail.com</v>
      </c>
      <c r="G37" s="5">
        <f ca="1">IFERROR(__xludf.DUMMYFUNCTION("""COMPUTED_VALUE"""),833896327)</f>
        <v>833896327</v>
      </c>
      <c r="H37" s="4">
        <f ca="1">IFERROR(__xludf.DUMMYFUNCTION("""COMPUTED_VALUE"""),2700098817)</f>
        <v>2700098817</v>
      </c>
      <c r="I37" s="1" t="str">
        <f ca="1">IFERROR(__xludf.DUMMYFUNCTION("""COMPUTED_VALUE"""),"Cathedral Peak GC")</f>
        <v>Cathedral Peak GC</v>
      </c>
      <c r="J37" s="3">
        <f ca="1">IFERROR(__xludf.DUMMYFUNCTION("""COMPUTED_VALUE"""),45968)</f>
        <v>45968</v>
      </c>
      <c r="K37" s="7">
        <f ca="1">IFERROR(__xludf.DUMMYFUNCTION("""COMPUTED_VALUE"""),1)</f>
        <v>1</v>
      </c>
      <c r="L37" s="98" t="b">
        <f ca="1">IFERROR(__xludf.DUMMYFUNCTION("""COMPUTED_VALUE"""),FALSE)</f>
        <v>0</v>
      </c>
      <c r="M37" s="98" t="b">
        <f ca="1">IFERROR(__xludf.DUMMYFUNCTION("""COMPUTED_VALUE"""),FALSE)</f>
        <v>0</v>
      </c>
      <c r="N37" s="98" t="b">
        <f ca="1">IFERROR(__xludf.DUMMYFUNCTION("""COMPUTED_VALUE"""),FALSE)</f>
        <v>0</v>
      </c>
      <c r="O37" s="98" t="b">
        <f ca="1">IFERROR(__xludf.DUMMYFUNCTION("""COMPUTED_VALUE"""),FALSE)</f>
        <v>0</v>
      </c>
      <c r="P37" s="98" t="b">
        <f ca="1">IFERROR(__xludf.DUMMYFUNCTION("""COMPUTED_VALUE"""),FALSE)</f>
        <v>0</v>
      </c>
      <c r="Q37" s="98" t="b">
        <f ca="1">IFERROR(__xludf.DUMMYFUNCTION("""COMPUTED_VALUE"""),FALSE)</f>
        <v>0</v>
      </c>
      <c r="R37" s="98" t="b">
        <f ca="1">IFERROR(__xludf.DUMMYFUNCTION("""COMPUTED_VALUE"""),FALSE)</f>
        <v>0</v>
      </c>
      <c r="S37" s="98"/>
      <c r="T37" s="98"/>
      <c r="U37" s="98"/>
      <c r="V37" s="98"/>
    </row>
    <row r="38" spans="1:22" ht="16.5" customHeight="1" x14ac:dyDescent="0.2">
      <c r="A38" s="6" t="str">
        <f ca="1">IFERROR(__xludf.DUMMYFUNCTION("""COMPUTED_VALUE"""),"Kriegler")</f>
        <v>Kriegler</v>
      </c>
      <c r="B38" s="1" t="str">
        <f ca="1">IFERROR(__xludf.DUMMYFUNCTION("""COMPUTED_VALUE"""),"Alta")</f>
        <v>Alta</v>
      </c>
      <c r="C38" s="2" t="str">
        <f ca="1">IFERROR(__xludf.DUMMYFUNCTION("""COMPUTED_VALUE"""),"LSC")</f>
        <v>LSC</v>
      </c>
      <c r="D38" s="3">
        <f ca="1">IFERROR(__xludf.DUMMYFUNCTION("""COMPUTED_VALUE"""),22177)</f>
        <v>22177</v>
      </c>
      <c r="E38" s="4">
        <f ca="1">IFERROR(__xludf.DUMMYFUNCTION("""COMPUTED_VALUE"""),65)</f>
        <v>65</v>
      </c>
      <c r="F38" s="1" t="str">
        <f ca="1">IFERROR(__xludf.DUMMYFUNCTION("""COMPUTED_VALUE"""),"altakriegler@gmail.com")</f>
        <v>altakriegler@gmail.com</v>
      </c>
      <c r="G38" s="5">
        <f ca="1">IFERROR(__xludf.DUMMYFUNCTION("""COMPUTED_VALUE"""),828797293)</f>
        <v>828797293</v>
      </c>
      <c r="H38" s="4">
        <f ca="1">IFERROR(__xludf.DUMMYFUNCTION("""COMPUTED_VALUE"""),2700419250)</f>
        <v>2700419250</v>
      </c>
      <c r="I38" s="1" t="str">
        <f ca="1">IFERROR(__xludf.DUMMYFUNCTION("""COMPUTED_VALUE"""),"Southbroom GC")</f>
        <v>Southbroom GC</v>
      </c>
      <c r="J38" s="3">
        <f ca="1">IFERROR(__xludf.DUMMYFUNCTION("""COMPUTED_VALUE"""),45961)</f>
        <v>45961</v>
      </c>
      <c r="K38" s="7">
        <f ca="1">IFERROR(__xludf.DUMMYFUNCTION("""COMPUTED_VALUE"""),1)</f>
        <v>1</v>
      </c>
      <c r="L38" s="98" t="b">
        <f ca="1">IFERROR(__xludf.DUMMYFUNCTION("""COMPUTED_VALUE"""),FALSE)</f>
        <v>0</v>
      </c>
      <c r="M38" s="98" t="b">
        <f ca="1">IFERROR(__xludf.DUMMYFUNCTION("""COMPUTED_VALUE"""),FALSE)</f>
        <v>0</v>
      </c>
      <c r="N38" s="98" t="b">
        <f ca="1">IFERROR(__xludf.DUMMYFUNCTION("""COMPUTED_VALUE"""),FALSE)</f>
        <v>0</v>
      </c>
      <c r="O38" s="98" t="b">
        <f ca="1">IFERROR(__xludf.DUMMYFUNCTION("""COMPUTED_VALUE"""),FALSE)</f>
        <v>0</v>
      </c>
      <c r="P38" s="98" t="b">
        <f ca="1">IFERROR(__xludf.DUMMYFUNCTION("""COMPUTED_VALUE"""),TRUE)</f>
        <v>1</v>
      </c>
      <c r="Q38" s="98" t="b">
        <f ca="1">IFERROR(__xludf.DUMMYFUNCTION("""COMPUTED_VALUE"""),FALSE)</f>
        <v>0</v>
      </c>
      <c r="R38" s="98" t="b">
        <f ca="1">IFERROR(__xludf.DUMMYFUNCTION("""COMPUTED_VALUE"""),FALSE)</f>
        <v>0</v>
      </c>
      <c r="S38" s="98"/>
      <c r="T38" s="98"/>
      <c r="U38" s="98"/>
      <c r="V38" s="98"/>
    </row>
    <row r="39" spans="1:22" ht="16.5" customHeight="1" x14ac:dyDescent="0.2">
      <c r="A39" s="6" t="str">
        <f ca="1">IFERROR(__xludf.DUMMYFUNCTION("""COMPUTED_VALUE"""),"Lind")</f>
        <v>Lind</v>
      </c>
      <c r="B39" s="1" t="str">
        <f ca="1">IFERROR(__xludf.DUMMYFUNCTION("""COMPUTED_VALUE"""),"Jane")</f>
        <v>Jane</v>
      </c>
      <c r="C39" s="2" t="str">
        <f ca="1">IFERROR(__xludf.DUMMYFUNCTION("""COMPUTED_VALUE"""),"LSC")</f>
        <v>LSC</v>
      </c>
      <c r="D39" s="3">
        <f ca="1">IFERROR(__xludf.DUMMYFUNCTION("""COMPUTED_VALUE"""),21936)</f>
        <v>21936</v>
      </c>
      <c r="E39" s="4">
        <f ca="1">IFERROR(__xludf.DUMMYFUNCTION("""COMPUTED_VALUE"""),66)</f>
        <v>66</v>
      </c>
      <c r="F39" s="1" t="str">
        <f ca="1">IFERROR(__xludf.DUMMYFUNCTION("""COMPUTED_VALUE"""),"janelind@mweb.co.za")</f>
        <v>janelind@mweb.co.za</v>
      </c>
      <c r="G39" s="5">
        <f ca="1">IFERROR(__xludf.DUMMYFUNCTION("""COMPUTED_VALUE"""),833578209)</f>
        <v>833578209</v>
      </c>
      <c r="H39" s="4">
        <f ca="1">IFERROR(__xludf.DUMMYFUNCTION("""COMPUTED_VALUE"""),2700071138)</f>
        <v>2700071138</v>
      </c>
      <c r="I39" s="1" t="str">
        <f ca="1">IFERROR(__xludf.DUMMYFUNCTION("""COMPUTED_VALUE"""),"Port Shepstone CC")</f>
        <v>Port Shepstone CC</v>
      </c>
      <c r="J39" s="3">
        <f ca="1">IFERROR(__xludf.DUMMYFUNCTION("""COMPUTED_VALUE"""),45943)</f>
        <v>45943</v>
      </c>
      <c r="K39" s="7">
        <f ca="1">IFERROR(__xludf.DUMMYFUNCTION("""COMPUTED_VALUE"""),1)</f>
        <v>1</v>
      </c>
      <c r="L39" s="98" t="b">
        <f ca="1">IFERROR(__xludf.DUMMYFUNCTION("""COMPUTED_VALUE"""),FALSE)</f>
        <v>0</v>
      </c>
      <c r="M39" s="98" t="b">
        <f ca="1">IFERROR(__xludf.DUMMYFUNCTION("""COMPUTED_VALUE"""),FALSE)</f>
        <v>0</v>
      </c>
      <c r="N39" s="98" t="b">
        <f ca="1">IFERROR(__xludf.DUMMYFUNCTION("""COMPUTED_VALUE"""),FALSE)</f>
        <v>0</v>
      </c>
      <c r="O39" s="98" t="b">
        <f ca="1">IFERROR(__xludf.DUMMYFUNCTION("""COMPUTED_VALUE"""),FALSE)</f>
        <v>0</v>
      </c>
      <c r="P39" s="98" t="b">
        <f ca="1">IFERROR(__xludf.DUMMYFUNCTION("""COMPUTED_VALUE"""),TRUE)</f>
        <v>1</v>
      </c>
      <c r="Q39" s="98" t="b">
        <f ca="1">IFERROR(__xludf.DUMMYFUNCTION("""COMPUTED_VALUE"""),FALSE)</f>
        <v>0</v>
      </c>
      <c r="R39" s="98" t="b">
        <f ca="1">IFERROR(__xludf.DUMMYFUNCTION("""COMPUTED_VALUE"""),FALSE)</f>
        <v>0</v>
      </c>
      <c r="S39" s="98"/>
      <c r="T39" s="98"/>
      <c r="U39" s="98"/>
      <c r="V39" s="98"/>
    </row>
    <row r="40" spans="1:22" ht="16.5" customHeight="1" x14ac:dyDescent="0.2">
      <c r="A40" s="6" t="str">
        <f ca="1">IFERROR(__xludf.DUMMYFUNCTION("""COMPUTED_VALUE"""),"Lind")</f>
        <v>Lind</v>
      </c>
      <c r="B40" s="1" t="str">
        <f ca="1">IFERROR(__xludf.DUMMYFUNCTION("""COMPUTED_VALUE"""),"Bryan")</f>
        <v>Bryan</v>
      </c>
      <c r="C40" s="2" t="str">
        <f ca="1">IFERROR(__xludf.DUMMYFUNCTION("""COMPUTED_VALUE"""),"LSC")</f>
        <v>LSC</v>
      </c>
      <c r="D40" s="3">
        <f ca="1">IFERROR(__xludf.DUMMYFUNCTION("""COMPUTED_VALUE"""),21136)</f>
        <v>21136</v>
      </c>
      <c r="E40" s="4">
        <f ca="1">IFERROR(__xludf.DUMMYFUNCTION("""COMPUTED_VALUE"""),68)</f>
        <v>68</v>
      </c>
      <c r="F40" s="1" t="str">
        <f ca="1">IFERROR(__xludf.DUMMYFUNCTION("""COMPUTED_VALUE"""),"janelind@mweb.co.za")</f>
        <v>janelind@mweb.co.za</v>
      </c>
      <c r="G40" s="5">
        <f ca="1">IFERROR(__xludf.DUMMYFUNCTION("""COMPUTED_VALUE"""),829044601)</f>
        <v>829044601</v>
      </c>
      <c r="H40" s="4">
        <f ca="1">IFERROR(__xludf.DUMMYFUNCTION("""COMPUTED_VALUE"""),2700071057)</f>
        <v>2700071057</v>
      </c>
      <c r="I40" s="1" t="str">
        <f ca="1">IFERROR(__xludf.DUMMYFUNCTION("""COMPUTED_VALUE"""),"Drakensberg Gardens")</f>
        <v>Drakensberg Gardens</v>
      </c>
      <c r="J40" s="3">
        <f ca="1">IFERROR(__xludf.DUMMYFUNCTION("""COMPUTED_VALUE"""),45943)</f>
        <v>45943</v>
      </c>
      <c r="K40" s="7">
        <f ca="1">IFERROR(__xludf.DUMMYFUNCTION("""COMPUTED_VALUE"""),1)</f>
        <v>1</v>
      </c>
      <c r="L40" s="98" t="b">
        <f ca="1">IFERROR(__xludf.DUMMYFUNCTION("""COMPUTED_VALUE"""),FALSE)</f>
        <v>0</v>
      </c>
      <c r="M40" s="98" t="b">
        <f ca="1">IFERROR(__xludf.DUMMYFUNCTION("""COMPUTED_VALUE"""),FALSE)</f>
        <v>0</v>
      </c>
      <c r="N40" s="98" t="b">
        <f ca="1">IFERROR(__xludf.DUMMYFUNCTION("""COMPUTED_VALUE"""),FALSE)</f>
        <v>0</v>
      </c>
      <c r="O40" s="98" t="b">
        <f ca="1">IFERROR(__xludf.DUMMYFUNCTION("""COMPUTED_VALUE"""),FALSE)</f>
        <v>0</v>
      </c>
      <c r="P40" s="98" t="b">
        <f ca="1">IFERROR(__xludf.DUMMYFUNCTION("""COMPUTED_VALUE"""),FALSE)</f>
        <v>0</v>
      </c>
      <c r="Q40" s="98" t="b">
        <f ca="1">IFERROR(__xludf.DUMMYFUNCTION("""COMPUTED_VALUE"""),FALSE)</f>
        <v>0</v>
      </c>
      <c r="R40" s="98" t="b">
        <f ca="1">IFERROR(__xludf.DUMMYFUNCTION("""COMPUTED_VALUE"""),FALSE)</f>
        <v>0</v>
      </c>
      <c r="S40" s="98"/>
      <c r="T40" s="98"/>
      <c r="U40" s="98"/>
      <c r="V40" s="98"/>
    </row>
    <row r="41" spans="1:22" ht="16.5" customHeight="1" x14ac:dyDescent="0.2">
      <c r="A41" s="6" t="str">
        <f ca="1">IFERROR(__xludf.DUMMYFUNCTION("""COMPUTED_VALUE"""),"Lowe")</f>
        <v>Lowe</v>
      </c>
      <c r="B41" s="1" t="str">
        <f ca="1">IFERROR(__xludf.DUMMYFUNCTION("""COMPUTED_VALUE"""),"Rodney")</f>
        <v>Rodney</v>
      </c>
      <c r="C41" s="2" t="str">
        <f ca="1">IFERROR(__xludf.DUMMYFUNCTION("""COMPUTED_VALUE"""),"LSC")</f>
        <v>LSC</v>
      </c>
      <c r="D41" s="3">
        <f ca="1">IFERROR(__xludf.DUMMYFUNCTION("""COMPUTED_VALUE"""),19076)</f>
        <v>19076</v>
      </c>
      <c r="E41" s="4">
        <f ca="1">IFERROR(__xludf.DUMMYFUNCTION("""COMPUTED_VALUE"""),73)</f>
        <v>73</v>
      </c>
      <c r="F41" s="1" t="str">
        <f ca="1">IFERROR(__xludf.DUMMYFUNCTION("""COMPUTED_VALUE"""),"rodneylowe52@gmail.com")</f>
        <v>rodneylowe52@gmail.com</v>
      </c>
      <c r="G41" s="5">
        <f ca="1">IFERROR(__xludf.DUMMYFUNCTION("""COMPUTED_VALUE"""),832892365)</f>
        <v>832892365</v>
      </c>
      <c r="H41" s="4">
        <f ca="1">IFERROR(__xludf.DUMMYFUNCTION("""COMPUTED_VALUE"""),2700077886)</f>
        <v>2700077886</v>
      </c>
      <c r="I41" s="1" t="str">
        <f ca="1">IFERROR(__xludf.DUMMYFUNCTION("""COMPUTED_VALUE"""),"Port Edward CC")</f>
        <v>Port Edward CC</v>
      </c>
      <c r="J41" s="3">
        <f ca="1">IFERROR(__xludf.DUMMYFUNCTION("""COMPUTED_VALUE"""),46051)</f>
        <v>46051</v>
      </c>
      <c r="K41" s="7">
        <f ca="1">IFERROR(__xludf.DUMMYFUNCTION("""COMPUTED_VALUE"""),0)</f>
        <v>0</v>
      </c>
      <c r="L41" s="98" t="b">
        <f ca="1">IFERROR(__xludf.DUMMYFUNCTION("""COMPUTED_VALUE"""),FALSE)</f>
        <v>0</v>
      </c>
      <c r="M41" s="98" t="b">
        <f ca="1">IFERROR(__xludf.DUMMYFUNCTION("""COMPUTED_VALUE"""),FALSE)</f>
        <v>0</v>
      </c>
      <c r="N41" s="98" t="b">
        <f ca="1">IFERROR(__xludf.DUMMYFUNCTION("""COMPUTED_VALUE"""),FALSE)</f>
        <v>0</v>
      </c>
      <c r="O41" s="98" t="b">
        <f ca="1">IFERROR(__xludf.DUMMYFUNCTION("""COMPUTED_VALUE"""),FALSE)</f>
        <v>0</v>
      </c>
      <c r="P41" s="98" t="b">
        <f ca="1">IFERROR(__xludf.DUMMYFUNCTION("""COMPUTED_VALUE"""),FALSE)</f>
        <v>0</v>
      </c>
      <c r="Q41" s="98" t="b">
        <f ca="1">IFERROR(__xludf.DUMMYFUNCTION("""COMPUTED_VALUE"""),FALSE)</f>
        <v>0</v>
      </c>
      <c r="R41" s="98" t="b">
        <f ca="1">IFERROR(__xludf.DUMMYFUNCTION("""COMPUTED_VALUE"""),FALSE)</f>
        <v>0</v>
      </c>
      <c r="S41" s="98"/>
      <c r="T41" s="98"/>
      <c r="U41" s="98"/>
      <c r="V41" s="98"/>
    </row>
    <row r="42" spans="1:22" ht="16.5" customHeight="1" x14ac:dyDescent="0.2">
      <c r="A42" s="6" t="str">
        <f ca="1">IFERROR(__xludf.DUMMYFUNCTION("""COMPUTED_VALUE"""),"Mannix")</f>
        <v>Mannix</v>
      </c>
      <c r="B42" s="1" t="str">
        <f ca="1">IFERROR(__xludf.DUMMYFUNCTION("""COMPUTED_VALUE"""),"Frankie")</f>
        <v>Frankie</v>
      </c>
      <c r="C42" s="2" t="str">
        <f ca="1">IFERROR(__xludf.DUMMYFUNCTION("""COMPUTED_VALUE"""),"LSC")</f>
        <v>LSC</v>
      </c>
      <c r="D42" s="3">
        <f ca="1">IFERROR(__xludf.DUMMYFUNCTION("""COMPUTED_VALUE"""),20643)</f>
        <v>20643</v>
      </c>
      <c r="E42" s="4">
        <f ca="1">IFERROR(__xludf.DUMMYFUNCTION("""COMPUTED_VALUE"""),69)</f>
        <v>69</v>
      </c>
      <c r="F42" s="1" t="str">
        <f ca="1">IFERROR(__xludf.DUMMYFUNCTION("""COMPUTED_VALUE"""),"admin@mannixelectrical.co.za")</f>
        <v>admin@mannixelectrical.co.za</v>
      </c>
      <c r="G42" s="5">
        <f ca="1">IFERROR(__xludf.DUMMYFUNCTION("""COMPUTED_VALUE"""),832527394)</f>
        <v>832527394</v>
      </c>
      <c r="H42" s="4">
        <f ca="1">IFERROR(__xludf.DUMMYFUNCTION("""COMPUTED_VALUE"""),2700118994)</f>
        <v>2700118994</v>
      </c>
      <c r="I42" s="1" t="str">
        <f ca="1">IFERROR(__xludf.DUMMYFUNCTION("""COMPUTED_VALUE"""),"Port Edward CC")</f>
        <v>Port Edward CC</v>
      </c>
      <c r="J42" s="3">
        <f ca="1">IFERROR(__xludf.DUMMYFUNCTION("""COMPUTED_VALUE"""),46051)</f>
        <v>46051</v>
      </c>
      <c r="K42" s="7">
        <f ca="1">IFERROR(__xludf.DUMMYFUNCTION("""COMPUTED_VALUE"""),0)</f>
        <v>0</v>
      </c>
      <c r="L42" s="98" t="b">
        <f ca="1">IFERROR(__xludf.DUMMYFUNCTION("""COMPUTED_VALUE"""),FALSE)</f>
        <v>0</v>
      </c>
      <c r="M42" s="98" t="b">
        <f ca="1">IFERROR(__xludf.DUMMYFUNCTION("""COMPUTED_VALUE"""),FALSE)</f>
        <v>0</v>
      </c>
      <c r="N42" s="98" t="b">
        <f ca="1">IFERROR(__xludf.DUMMYFUNCTION("""COMPUTED_VALUE"""),FALSE)</f>
        <v>0</v>
      </c>
      <c r="O42" s="98" t="b">
        <f ca="1">IFERROR(__xludf.DUMMYFUNCTION("""COMPUTED_VALUE"""),FALSE)</f>
        <v>0</v>
      </c>
      <c r="P42" s="98" t="b">
        <f ca="1">IFERROR(__xludf.DUMMYFUNCTION("""COMPUTED_VALUE"""),FALSE)</f>
        <v>0</v>
      </c>
      <c r="Q42" s="98" t="b">
        <f ca="1">IFERROR(__xludf.DUMMYFUNCTION("""COMPUTED_VALUE"""),FALSE)</f>
        <v>0</v>
      </c>
      <c r="R42" s="98" t="b">
        <f ca="1">IFERROR(__xludf.DUMMYFUNCTION("""COMPUTED_VALUE"""),FALSE)</f>
        <v>0</v>
      </c>
      <c r="S42" s="98"/>
      <c r="T42" s="98"/>
      <c r="U42" s="98"/>
      <c r="V42" s="98"/>
    </row>
    <row r="43" spans="1:22" ht="16.5" customHeight="1" x14ac:dyDescent="0.2">
      <c r="A43" s="6" t="str">
        <f ca="1">IFERROR(__xludf.DUMMYFUNCTION("""COMPUTED_VALUE"""),"Marx")</f>
        <v>Marx</v>
      </c>
      <c r="B43" s="1" t="str">
        <f ca="1">IFERROR(__xludf.DUMMYFUNCTION("""COMPUTED_VALUE"""),"Debbie")</f>
        <v>Debbie</v>
      </c>
      <c r="C43" s="2" t="str">
        <f ca="1">IFERROR(__xludf.DUMMYFUNCTION("""COMPUTED_VALUE"""),"LSC")</f>
        <v>LSC</v>
      </c>
      <c r="D43" s="3">
        <f ca="1">IFERROR(__xludf.DUMMYFUNCTION("""COMPUTED_VALUE"""),23283)</f>
        <v>23283</v>
      </c>
      <c r="E43" s="4">
        <f ca="1">IFERROR(__xludf.DUMMYFUNCTION("""COMPUTED_VALUE"""),62)</f>
        <v>62</v>
      </c>
      <c r="F43" s="1" t="str">
        <f ca="1">IFERROR(__xludf.DUMMYFUNCTION("""COMPUTED_VALUE"""),"debbiemarx@telkomsa.net")</f>
        <v>debbiemarx@telkomsa.net</v>
      </c>
      <c r="G43" s="5">
        <f ca="1">IFERROR(__xludf.DUMMYFUNCTION("""COMPUTED_VALUE"""),829235882)</f>
        <v>829235882</v>
      </c>
      <c r="H43" s="4">
        <f ca="1">IFERROR(__xludf.DUMMYFUNCTION("""COMPUTED_VALUE"""),2700400182)</f>
        <v>2700400182</v>
      </c>
      <c r="I43" s="1" t="str">
        <f ca="1">IFERROR(__xludf.DUMMYFUNCTION("""COMPUTED_VALUE"""),"Margate CC")</f>
        <v>Margate CC</v>
      </c>
      <c r="J43" s="3">
        <f ca="1">IFERROR(__xludf.DUMMYFUNCTION("""COMPUTED_VALUE"""),45962)</f>
        <v>45962</v>
      </c>
      <c r="K43" s="7">
        <f ca="1">IFERROR(__xludf.DUMMYFUNCTION("""COMPUTED_VALUE"""),1)</f>
        <v>1</v>
      </c>
      <c r="L43" s="98" t="b">
        <f ca="1">IFERROR(__xludf.DUMMYFUNCTION("""COMPUTED_VALUE"""),FALSE)</f>
        <v>0</v>
      </c>
      <c r="M43" s="98" t="b">
        <f ca="1">IFERROR(__xludf.DUMMYFUNCTION("""COMPUTED_VALUE"""),FALSE)</f>
        <v>0</v>
      </c>
      <c r="N43" s="98" t="b">
        <f ca="1">IFERROR(__xludf.DUMMYFUNCTION("""COMPUTED_VALUE"""),FALSE)</f>
        <v>0</v>
      </c>
      <c r="O43" s="98" t="b">
        <f ca="1">IFERROR(__xludf.DUMMYFUNCTION("""COMPUTED_VALUE"""),FALSE)</f>
        <v>0</v>
      </c>
      <c r="P43" s="98" t="b">
        <f ca="1">IFERROR(__xludf.DUMMYFUNCTION("""COMPUTED_VALUE"""),TRUE)</f>
        <v>1</v>
      </c>
      <c r="Q43" s="98" t="b">
        <f ca="1">IFERROR(__xludf.DUMMYFUNCTION("""COMPUTED_VALUE"""),FALSE)</f>
        <v>0</v>
      </c>
      <c r="R43" s="98" t="b">
        <f ca="1">IFERROR(__xludf.DUMMYFUNCTION("""COMPUTED_VALUE"""),FALSE)</f>
        <v>0</v>
      </c>
      <c r="S43" s="98"/>
      <c r="T43" s="98"/>
      <c r="U43" s="98"/>
      <c r="V43" s="98"/>
    </row>
    <row r="44" spans="1:22" ht="16.5" customHeight="1" x14ac:dyDescent="0.2">
      <c r="A44" s="6" t="str">
        <f ca="1">IFERROR(__xludf.DUMMYFUNCTION("""COMPUTED_VALUE"""),"Maynard")</f>
        <v>Maynard</v>
      </c>
      <c r="B44" s="1" t="str">
        <f ca="1">IFERROR(__xludf.DUMMYFUNCTION("""COMPUTED_VALUE"""),"Stephen")</f>
        <v>Stephen</v>
      </c>
      <c r="C44" s="2" t="str">
        <f ca="1">IFERROR(__xludf.DUMMYFUNCTION("""COMPUTED_VALUE"""),"LSC")</f>
        <v>LSC</v>
      </c>
      <c r="D44" s="3">
        <f ca="1">IFERROR(__xludf.DUMMYFUNCTION("""COMPUTED_VALUE"""),20524)</f>
        <v>20524</v>
      </c>
      <c r="E44" s="4">
        <f ca="1">IFERROR(__xludf.DUMMYFUNCTION("""COMPUTED_VALUE"""),69)</f>
        <v>69</v>
      </c>
      <c r="F44" s="1" t="str">
        <f ca="1">IFERROR(__xludf.DUMMYFUNCTION("""COMPUTED_VALUE"""),"mwmayhil@mweb.co.za")</f>
        <v>mwmayhil@mweb.co.za</v>
      </c>
      <c r="G44" s="5">
        <f ca="1">IFERROR(__xludf.DUMMYFUNCTION("""COMPUTED_VALUE"""),825706776)</f>
        <v>825706776</v>
      </c>
      <c r="H44" s="4">
        <f ca="1">IFERROR(__xludf.DUMMYFUNCTION("""COMPUTED_VALUE"""),2700187111)</f>
        <v>2700187111</v>
      </c>
      <c r="I44" s="1" t="str">
        <f ca="1">IFERROR(__xludf.DUMMYFUNCTION("""COMPUTED_VALUE"""),"Port Edward CC")</f>
        <v>Port Edward CC</v>
      </c>
      <c r="J44" s="3">
        <f ca="1">IFERROR(__xludf.DUMMYFUNCTION("""COMPUTED_VALUE"""),46051)</f>
        <v>46051</v>
      </c>
      <c r="K44" s="7">
        <f ca="1">IFERROR(__xludf.DUMMYFUNCTION("""COMPUTED_VALUE"""),0)</f>
        <v>0</v>
      </c>
      <c r="L44" s="98" t="b">
        <f ca="1">IFERROR(__xludf.DUMMYFUNCTION("""COMPUTED_VALUE"""),FALSE)</f>
        <v>0</v>
      </c>
      <c r="M44" s="98" t="b">
        <f ca="1">IFERROR(__xludf.DUMMYFUNCTION("""COMPUTED_VALUE"""),FALSE)</f>
        <v>0</v>
      </c>
      <c r="N44" s="98" t="b">
        <f ca="1">IFERROR(__xludf.DUMMYFUNCTION("""COMPUTED_VALUE"""),FALSE)</f>
        <v>0</v>
      </c>
      <c r="O44" s="98" t="b">
        <f ca="1">IFERROR(__xludf.DUMMYFUNCTION("""COMPUTED_VALUE"""),FALSE)</f>
        <v>0</v>
      </c>
      <c r="P44" s="98" t="b">
        <f ca="1">IFERROR(__xludf.DUMMYFUNCTION("""COMPUTED_VALUE"""),FALSE)</f>
        <v>0</v>
      </c>
      <c r="Q44" s="98" t="b">
        <f ca="1">IFERROR(__xludf.DUMMYFUNCTION("""COMPUTED_VALUE"""),FALSE)</f>
        <v>0</v>
      </c>
      <c r="R44" s="98" t="b">
        <f ca="1">IFERROR(__xludf.DUMMYFUNCTION("""COMPUTED_VALUE"""),FALSE)</f>
        <v>0</v>
      </c>
      <c r="S44" s="98"/>
      <c r="T44" s="98"/>
      <c r="U44" s="98"/>
      <c r="V44" s="98"/>
    </row>
    <row r="45" spans="1:22" ht="16.5" customHeight="1" x14ac:dyDescent="0.2">
      <c r="A45" s="6" t="str">
        <f ca="1">IFERROR(__xludf.DUMMYFUNCTION("""COMPUTED_VALUE"""),"Meyer")</f>
        <v>Meyer</v>
      </c>
      <c r="B45" s="1" t="str">
        <f ca="1">IFERROR(__xludf.DUMMYFUNCTION("""COMPUTED_VALUE"""),"Cathy")</f>
        <v>Cathy</v>
      </c>
      <c r="C45" s="2" t="str">
        <f ca="1">IFERROR(__xludf.DUMMYFUNCTION("""COMPUTED_VALUE"""),"LSC")</f>
        <v>LSC</v>
      </c>
      <c r="D45" s="3">
        <f ca="1">IFERROR(__xludf.DUMMYFUNCTION("""COMPUTED_VALUE"""),21568)</f>
        <v>21568</v>
      </c>
      <c r="E45" s="4">
        <f ca="1">IFERROR(__xludf.DUMMYFUNCTION("""COMPUTED_VALUE"""),67)</f>
        <v>67</v>
      </c>
      <c r="F45" s="1" t="str">
        <f ca="1">IFERROR(__xludf.DUMMYFUNCTION("""COMPUTED_VALUE"""),"cathy.meyer@vodamail.co.za")</f>
        <v>cathy.meyer@vodamail.co.za</v>
      </c>
      <c r="G45" s="5">
        <f ca="1">IFERROR(__xludf.DUMMYFUNCTION("""COMPUTED_VALUE"""),823311732)</f>
        <v>823311732</v>
      </c>
      <c r="H45" s="4">
        <f ca="1">IFERROR(__xludf.DUMMYFUNCTION("""COMPUTED_VALUE"""),2700273160)</f>
        <v>2700273160</v>
      </c>
      <c r="I45" s="1" t="str">
        <f ca="1">IFERROR(__xludf.DUMMYFUNCTION("""COMPUTED_VALUE"""),"Margate CC")</f>
        <v>Margate CC</v>
      </c>
      <c r="J45" s="3">
        <f ca="1">IFERROR(__xludf.DUMMYFUNCTION("""COMPUTED_VALUE"""),45938)</f>
        <v>45938</v>
      </c>
      <c r="K45" s="7">
        <f ca="1">IFERROR(__xludf.DUMMYFUNCTION("""COMPUTED_VALUE"""),1)</f>
        <v>1</v>
      </c>
      <c r="L45" s="98" t="b">
        <f ca="1">IFERROR(__xludf.DUMMYFUNCTION("""COMPUTED_VALUE"""),FALSE)</f>
        <v>0</v>
      </c>
      <c r="M45" s="98" t="b">
        <f ca="1">IFERROR(__xludf.DUMMYFUNCTION("""COMPUTED_VALUE"""),FALSE)</f>
        <v>0</v>
      </c>
      <c r="N45" s="98" t="b">
        <f ca="1">IFERROR(__xludf.DUMMYFUNCTION("""COMPUTED_VALUE"""),FALSE)</f>
        <v>0</v>
      </c>
      <c r="O45" s="98" t="b">
        <f ca="1">IFERROR(__xludf.DUMMYFUNCTION("""COMPUTED_VALUE"""),FALSE)</f>
        <v>0</v>
      </c>
      <c r="P45" s="98" t="b">
        <f ca="1">IFERROR(__xludf.DUMMYFUNCTION("""COMPUTED_VALUE"""),TRUE)</f>
        <v>1</v>
      </c>
      <c r="Q45" s="98" t="b">
        <f ca="1">IFERROR(__xludf.DUMMYFUNCTION("""COMPUTED_VALUE"""),FALSE)</f>
        <v>0</v>
      </c>
      <c r="R45" s="98" t="b">
        <f ca="1">IFERROR(__xludf.DUMMYFUNCTION("""COMPUTED_VALUE"""),FALSE)</f>
        <v>0</v>
      </c>
      <c r="S45" s="98"/>
      <c r="T45" s="98"/>
      <c r="U45" s="98"/>
      <c r="V45" s="98"/>
    </row>
    <row r="46" spans="1:22" ht="16.5" customHeight="1" x14ac:dyDescent="0.2">
      <c r="A46" s="6" t="str">
        <f ca="1">IFERROR(__xludf.DUMMYFUNCTION("""COMPUTED_VALUE"""),"Meyer")</f>
        <v>Meyer</v>
      </c>
      <c r="B46" s="1" t="str">
        <f ca="1">IFERROR(__xludf.DUMMYFUNCTION("""COMPUTED_VALUE"""),"Johann")</f>
        <v>Johann</v>
      </c>
      <c r="C46" s="2" t="str">
        <f ca="1">IFERROR(__xludf.DUMMYFUNCTION("""COMPUTED_VALUE"""),"LSC")</f>
        <v>LSC</v>
      </c>
      <c r="D46" s="3">
        <f ca="1">IFERROR(__xludf.DUMMYFUNCTION("""COMPUTED_VALUE"""),20793)</f>
        <v>20793</v>
      </c>
      <c r="E46" s="4">
        <f ca="1">IFERROR(__xludf.DUMMYFUNCTION("""COMPUTED_VALUE"""),69)</f>
        <v>69</v>
      </c>
      <c r="F46" s="1" t="str">
        <f ca="1">IFERROR(__xludf.DUMMYFUNCTION("""COMPUTED_VALUE"""),"johann.meyersa@gmail.com")</f>
        <v>johann.meyersa@gmail.com</v>
      </c>
      <c r="G46" s="5">
        <f ca="1">IFERROR(__xludf.DUMMYFUNCTION("""COMPUTED_VALUE"""),793880154)</f>
        <v>793880154</v>
      </c>
      <c r="H46" s="4">
        <f ca="1">IFERROR(__xludf.DUMMYFUNCTION("""COMPUTED_VALUE"""),2700372159)</f>
        <v>2700372159</v>
      </c>
      <c r="I46" s="1" t="str">
        <f ca="1">IFERROR(__xludf.DUMMYFUNCTION("""COMPUTED_VALUE"""),"Margate CC")</f>
        <v>Margate CC</v>
      </c>
      <c r="J46" s="3">
        <f ca="1">IFERROR(__xludf.DUMMYFUNCTION("""COMPUTED_VALUE"""),45938)</f>
        <v>45938</v>
      </c>
      <c r="K46" s="7">
        <f ca="1">IFERROR(__xludf.DUMMYFUNCTION("""COMPUTED_VALUE"""),1)</f>
        <v>1</v>
      </c>
      <c r="L46" s="98" t="b">
        <f ca="1">IFERROR(__xludf.DUMMYFUNCTION("""COMPUTED_VALUE"""),FALSE)</f>
        <v>0</v>
      </c>
      <c r="M46" s="98" t="b">
        <f ca="1">IFERROR(__xludf.DUMMYFUNCTION("""COMPUTED_VALUE"""),FALSE)</f>
        <v>0</v>
      </c>
      <c r="N46" s="98" t="b">
        <f ca="1">IFERROR(__xludf.DUMMYFUNCTION("""COMPUTED_VALUE"""),FALSE)</f>
        <v>0</v>
      </c>
      <c r="O46" s="98" t="b">
        <f ca="1">IFERROR(__xludf.DUMMYFUNCTION("""COMPUTED_VALUE"""),FALSE)</f>
        <v>0</v>
      </c>
      <c r="P46" s="98" t="b">
        <f ca="1">IFERROR(__xludf.DUMMYFUNCTION("""COMPUTED_VALUE"""),FALSE)</f>
        <v>0</v>
      </c>
      <c r="Q46" s="98" t="b">
        <f ca="1">IFERROR(__xludf.DUMMYFUNCTION("""COMPUTED_VALUE"""),FALSE)</f>
        <v>0</v>
      </c>
      <c r="R46" s="98" t="b">
        <f ca="1">IFERROR(__xludf.DUMMYFUNCTION("""COMPUTED_VALUE"""),FALSE)</f>
        <v>0</v>
      </c>
      <c r="S46" s="98"/>
      <c r="T46" s="98"/>
      <c r="U46" s="98"/>
      <c r="V46" s="98"/>
    </row>
    <row r="47" spans="1:22" ht="16.5" customHeight="1" x14ac:dyDescent="0.2">
      <c r="A47" s="6" t="str">
        <f ca="1">IFERROR(__xludf.DUMMYFUNCTION("""COMPUTED_VALUE"""),"Mkhize")</f>
        <v>Mkhize</v>
      </c>
      <c r="B47" s="1" t="str">
        <f ca="1">IFERROR(__xludf.DUMMYFUNCTION("""COMPUTED_VALUE"""),"Handry")</f>
        <v>Handry</v>
      </c>
      <c r="C47" s="2" t="str">
        <f ca="1">IFERROR(__xludf.DUMMYFUNCTION("""COMPUTED_VALUE"""),"LSC")</f>
        <v>LSC</v>
      </c>
      <c r="D47" s="3">
        <f ca="1">IFERROR(__xludf.DUMMYFUNCTION("""COMPUTED_VALUE"""),24513)</f>
        <v>24513</v>
      </c>
      <c r="E47" s="4">
        <f ca="1">IFERROR(__xludf.DUMMYFUNCTION("""COMPUTED_VALUE"""),59)</f>
        <v>59</v>
      </c>
      <c r="F47" s="1" t="str">
        <f ca="1">IFERROR(__xludf.DUMMYFUNCTION("""COMPUTED_VALUE"""),"-")</f>
        <v>-</v>
      </c>
      <c r="G47" s="5">
        <f ca="1">IFERROR(__xludf.DUMMYFUNCTION("""COMPUTED_VALUE"""),634186072)</f>
        <v>634186072</v>
      </c>
      <c r="H47" s="4">
        <f ca="1">IFERROR(__xludf.DUMMYFUNCTION("""COMPUTED_VALUE"""),2700418708)</f>
        <v>2700418708</v>
      </c>
      <c r="I47" s="1" t="str">
        <f ca="1">IFERROR(__xludf.DUMMYFUNCTION("""COMPUTED_VALUE"""),"Margate CC")</f>
        <v>Margate CC</v>
      </c>
      <c r="J47" s="3">
        <f ca="1">IFERROR(__xludf.DUMMYFUNCTION("""COMPUTED_VALUE"""),45959)</f>
        <v>45959</v>
      </c>
      <c r="K47" s="7">
        <f ca="1">IFERROR(__xludf.DUMMYFUNCTION("""COMPUTED_VALUE"""),1)</f>
        <v>1</v>
      </c>
      <c r="L47" s="98" t="b">
        <f ca="1">IFERROR(__xludf.DUMMYFUNCTION("""COMPUTED_VALUE"""),FALSE)</f>
        <v>0</v>
      </c>
      <c r="M47" s="98" t="b">
        <f ca="1">IFERROR(__xludf.DUMMYFUNCTION("""COMPUTED_VALUE"""),FALSE)</f>
        <v>0</v>
      </c>
      <c r="N47" s="98" t="b">
        <f ca="1">IFERROR(__xludf.DUMMYFUNCTION("""COMPUTED_VALUE"""),FALSE)</f>
        <v>0</v>
      </c>
      <c r="O47" s="98" t="b">
        <f ca="1">IFERROR(__xludf.DUMMYFUNCTION("""COMPUTED_VALUE"""),FALSE)</f>
        <v>0</v>
      </c>
      <c r="P47" s="98" t="b">
        <f ca="1">IFERROR(__xludf.DUMMYFUNCTION("""COMPUTED_VALUE"""),FALSE)</f>
        <v>0</v>
      </c>
      <c r="Q47" s="98" t="b">
        <f ca="1">IFERROR(__xludf.DUMMYFUNCTION("""COMPUTED_VALUE"""),FALSE)</f>
        <v>0</v>
      </c>
      <c r="R47" s="98" t="b">
        <f ca="1">IFERROR(__xludf.DUMMYFUNCTION("""COMPUTED_VALUE"""),FALSE)</f>
        <v>0</v>
      </c>
      <c r="S47" s="98"/>
      <c r="T47" s="98"/>
      <c r="U47" s="98"/>
      <c r="V47" s="98"/>
    </row>
    <row r="48" spans="1:22" ht="16.5" customHeight="1" x14ac:dyDescent="0.2">
      <c r="A48" s="6" t="str">
        <f ca="1">IFERROR(__xludf.DUMMYFUNCTION("""COMPUTED_VALUE"""),"Momberg")</f>
        <v>Momberg</v>
      </c>
      <c r="B48" s="1" t="str">
        <f ca="1">IFERROR(__xludf.DUMMYFUNCTION("""COMPUTED_VALUE"""),"Johan")</f>
        <v>Johan</v>
      </c>
      <c r="C48" s="2" t="str">
        <f ca="1">IFERROR(__xludf.DUMMYFUNCTION("""COMPUTED_VALUE"""),"LSC")</f>
        <v>LSC</v>
      </c>
      <c r="D48" s="3">
        <f ca="1">IFERROR(__xludf.DUMMYFUNCTION("""COMPUTED_VALUE"""),20994)</f>
        <v>20994</v>
      </c>
      <c r="E48" s="4">
        <f ca="1">IFERROR(__xludf.DUMMYFUNCTION("""COMPUTED_VALUE"""),68)</f>
        <v>68</v>
      </c>
      <c r="F48" s="1" t="str">
        <f ca="1">IFERROR(__xludf.DUMMYFUNCTION("""COMPUTED_VALUE"""),"jmomberg100@gmail.com")</f>
        <v>jmomberg100@gmail.com</v>
      </c>
      <c r="G48" s="5">
        <f ca="1">IFERROR(__xludf.DUMMYFUNCTION("""COMPUTED_VALUE"""),834147844)</f>
        <v>834147844</v>
      </c>
      <c r="H48" s="4">
        <f ca="1">IFERROR(__xludf.DUMMYFUNCTION("""COMPUTED_VALUE"""),2700430441)</f>
        <v>2700430441</v>
      </c>
      <c r="I48" s="1" t="str">
        <f ca="1">IFERROR(__xludf.DUMMYFUNCTION("""COMPUTED_VALUE"""),"Margate Golf Club")</f>
        <v>Margate Golf Club</v>
      </c>
      <c r="J48" s="3">
        <f ca="1">IFERROR(__xludf.DUMMYFUNCTION("""COMPUTED_VALUE"""),45717)</f>
        <v>45717</v>
      </c>
      <c r="K48" s="7">
        <f ca="1">IFERROR(__xludf.DUMMYFUNCTION("""COMPUTED_VALUE"""),1)</f>
        <v>1</v>
      </c>
      <c r="L48" s="98" t="b">
        <f ca="1">IFERROR(__xludf.DUMMYFUNCTION("""COMPUTED_VALUE"""),FALSE)</f>
        <v>0</v>
      </c>
      <c r="M48" s="98" t="b">
        <f ca="1">IFERROR(__xludf.DUMMYFUNCTION("""COMPUTED_VALUE"""),FALSE)</f>
        <v>0</v>
      </c>
      <c r="N48" s="98" t="b">
        <f ca="1">IFERROR(__xludf.DUMMYFUNCTION("""COMPUTED_VALUE"""),FALSE)</f>
        <v>0</v>
      </c>
      <c r="O48" s="98" t="b">
        <f ca="1">IFERROR(__xludf.DUMMYFUNCTION("""COMPUTED_VALUE"""),FALSE)</f>
        <v>0</v>
      </c>
      <c r="P48" s="98" t="b">
        <f ca="1">IFERROR(__xludf.DUMMYFUNCTION("""COMPUTED_VALUE"""),FALSE)</f>
        <v>0</v>
      </c>
      <c r="Q48" s="98" t="b">
        <f ca="1">IFERROR(__xludf.DUMMYFUNCTION("""COMPUTED_VALUE"""),FALSE)</f>
        <v>0</v>
      </c>
      <c r="R48" s="98" t="b">
        <f ca="1">IFERROR(__xludf.DUMMYFUNCTION("""COMPUTED_VALUE"""),FALSE)</f>
        <v>0</v>
      </c>
      <c r="S48" s="98"/>
      <c r="T48" s="98"/>
      <c r="U48" s="98"/>
      <c r="V48" s="98"/>
    </row>
    <row r="49" spans="1:22" ht="16.5" customHeight="1" x14ac:dyDescent="0.2">
      <c r="A49" s="6" t="str">
        <f ca="1">IFERROR(__xludf.DUMMYFUNCTION("""COMPUTED_VALUE"""),"Nxamangele")</f>
        <v>Nxamangele</v>
      </c>
      <c r="B49" s="1" t="str">
        <f ca="1">IFERROR(__xludf.DUMMYFUNCTION("""COMPUTED_VALUE"""),"General SLA")</f>
        <v>General SLA</v>
      </c>
      <c r="C49" s="2" t="str">
        <f ca="1">IFERROR(__xludf.DUMMYFUNCTION("""COMPUTED_VALUE"""),"LSC")</f>
        <v>LSC</v>
      </c>
      <c r="D49" s="3">
        <f ca="1">IFERROR(__xludf.DUMMYFUNCTION("""COMPUTED_VALUE"""),23992)</f>
        <v>23992</v>
      </c>
      <c r="E49" s="4">
        <f ca="1">IFERROR(__xludf.DUMMYFUNCTION("""COMPUTED_VALUE"""),60)</f>
        <v>60</v>
      </c>
      <c r="F49" s="1" t="str">
        <f ca="1">IFERROR(__xludf.DUMMYFUNCTION("""COMPUTED_VALUE"""),"agnesnxamagele65@gmail.com")</f>
        <v>agnesnxamagele65@gmail.com</v>
      </c>
      <c r="G49" s="5">
        <f ca="1">IFERROR(__xludf.DUMMYFUNCTION("""COMPUTED_VALUE"""),824668535)</f>
        <v>824668535</v>
      </c>
      <c r="H49" s="4">
        <f ca="1">IFERROR(__xludf.DUMMYFUNCTION("""COMPUTED_VALUE"""),2700462189)</f>
        <v>2700462189</v>
      </c>
      <c r="I49" s="1" t="str">
        <f ca="1">IFERROR(__xludf.DUMMYFUNCTION("""COMPUTED_VALUE"""),"Margate CC")</f>
        <v>Margate CC</v>
      </c>
      <c r="J49" s="3">
        <f ca="1">IFERROR(__xludf.DUMMYFUNCTION("""COMPUTED_VALUE"""),46371)</f>
        <v>46371</v>
      </c>
      <c r="K49" s="7">
        <f ca="1">IFERROR(__xludf.DUMMYFUNCTION("""COMPUTED_VALUE"""),0)</f>
        <v>0</v>
      </c>
      <c r="L49" s="98" t="b">
        <f ca="1">IFERROR(__xludf.DUMMYFUNCTION("""COMPUTED_VALUE"""),FALSE)</f>
        <v>0</v>
      </c>
      <c r="M49" s="98" t="b">
        <f ca="1">IFERROR(__xludf.DUMMYFUNCTION("""COMPUTED_VALUE"""),FALSE)</f>
        <v>0</v>
      </c>
      <c r="N49" s="98" t="b">
        <f ca="1">IFERROR(__xludf.DUMMYFUNCTION("""COMPUTED_VALUE"""),FALSE)</f>
        <v>0</v>
      </c>
      <c r="O49" s="98" t="b">
        <f ca="1">IFERROR(__xludf.DUMMYFUNCTION("""COMPUTED_VALUE"""),FALSE)</f>
        <v>0</v>
      </c>
      <c r="P49" s="98" t="b">
        <f ca="1">IFERROR(__xludf.DUMMYFUNCTION("""COMPUTED_VALUE"""),FALSE)</f>
        <v>0</v>
      </c>
      <c r="Q49" s="98" t="b">
        <f ca="1">IFERROR(__xludf.DUMMYFUNCTION("""COMPUTED_VALUE"""),FALSE)</f>
        <v>0</v>
      </c>
      <c r="R49" s="98" t="b">
        <f ca="1">IFERROR(__xludf.DUMMYFUNCTION("""COMPUTED_VALUE"""),FALSE)</f>
        <v>0</v>
      </c>
      <c r="S49" s="98"/>
      <c r="T49" s="98"/>
      <c r="U49" s="98"/>
      <c r="V49" s="98"/>
    </row>
    <row r="50" spans="1:22" ht="16.5" customHeight="1" x14ac:dyDescent="0.2">
      <c r="A50" s="6" t="str">
        <f ca="1">IFERROR(__xludf.DUMMYFUNCTION("""COMPUTED_VALUE"""),"Oberholzer")</f>
        <v>Oberholzer</v>
      </c>
      <c r="B50" s="1" t="str">
        <f ca="1">IFERROR(__xludf.DUMMYFUNCTION("""COMPUTED_VALUE"""),"Johan")</f>
        <v>Johan</v>
      </c>
      <c r="C50" s="2" t="str">
        <f ca="1">IFERROR(__xludf.DUMMYFUNCTION("""COMPUTED_VALUE"""),"LSC")</f>
        <v>LSC</v>
      </c>
      <c r="D50" s="3">
        <f ca="1">IFERROR(__xludf.DUMMYFUNCTION("""COMPUTED_VALUE"""),21768)</f>
        <v>21768</v>
      </c>
      <c r="E50" s="4">
        <f ca="1">IFERROR(__xludf.DUMMYFUNCTION("""COMPUTED_VALUE"""),66)</f>
        <v>66</v>
      </c>
      <c r="F50" s="1" t="str">
        <f ca="1">IFERROR(__xludf.DUMMYFUNCTION("""COMPUTED_VALUE"""),"joberholzer18@gmail.com")</f>
        <v>joberholzer18@gmail.com</v>
      </c>
      <c r="G50" s="5">
        <f ca="1">IFERROR(__xludf.DUMMYFUNCTION("""COMPUTED_VALUE"""),834559880)</f>
        <v>834559880</v>
      </c>
      <c r="H50" s="4">
        <f ca="1">IFERROR(__xludf.DUMMYFUNCTION("""COMPUTED_VALUE"""),2700401130)</f>
        <v>2700401130</v>
      </c>
      <c r="I50" s="1" t="str">
        <f ca="1">IFERROR(__xludf.DUMMYFUNCTION("""COMPUTED_VALUE"""),"Port Edward CC")</f>
        <v>Port Edward CC</v>
      </c>
      <c r="J50" s="3">
        <f ca="1">IFERROR(__xludf.DUMMYFUNCTION("""COMPUTED_VALUE"""),46051)</f>
        <v>46051</v>
      </c>
      <c r="K50" s="7">
        <f ca="1">IFERROR(__xludf.DUMMYFUNCTION("""COMPUTED_VALUE"""),0)</f>
        <v>0</v>
      </c>
      <c r="L50" s="98" t="b">
        <f ca="1">IFERROR(__xludf.DUMMYFUNCTION("""COMPUTED_VALUE"""),FALSE)</f>
        <v>0</v>
      </c>
      <c r="M50" s="98" t="b">
        <f ca="1">IFERROR(__xludf.DUMMYFUNCTION("""COMPUTED_VALUE"""),FALSE)</f>
        <v>0</v>
      </c>
      <c r="N50" s="98" t="b">
        <f ca="1">IFERROR(__xludf.DUMMYFUNCTION("""COMPUTED_VALUE"""),FALSE)</f>
        <v>0</v>
      </c>
      <c r="O50" s="98" t="b">
        <f ca="1">IFERROR(__xludf.DUMMYFUNCTION("""COMPUTED_VALUE"""),FALSE)</f>
        <v>0</v>
      </c>
      <c r="P50" s="98" t="b">
        <f ca="1">IFERROR(__xludf.DUMMYFUNCTION("""COMPUTED_VALUE"""),FALSE)</f>
        <v>0</v>
      </c>
      <c r="Q50" s="98" t="b">
        <f ca="1">IFERROR(__xludf.DUMMYFUNCTION("""COMPUTED_VALUE"""),FALSE)</f>
        <v>0</v>
      </c>
      <c r="R50" s="98" t="b">
        <f ca="1">IFERROR(__xludf.DUMMYFUNCTION("""COMPUTED_VALUE"""),FALSE)</f>
        <v>0</v>
      </c>
      <c r="S50" s="98"/>
      <c r="T50" s="98"/>
      <c r="U50" s="98"/>
      <c r="V50" s="98"/>
    </row>
    <row r="51" spans="1:22" ht="16.5" customHeight="1" x14ac:dyDescent="0.2">
      <c r="A51" s="6" t="str">
        <f ca="1">IFERROR(__xludf.DUMMYFUNCTION("""COMPUTED_VALUE"""),"Oliver")</f>
        <v>Oliver</v>
      </c>
      <c r="B51" s="1" t="str">
        <f ca="1">IFERROR(__xludf.DUMMYFUNCTION("""COMPUTED_VALUE"""),"Steve")</f>
        <v>Steve</v>
      </c>
      <c r="C51" s="2" t="str">
        <f ca="1">IFERROR(__xludf.DUMMYFUNCTION("""COMPUTED_VALUE"""),"LSC")</f>
        <v>LSC</v>
      </c>
      <c r="D51" s="3">
        <f ca="1">IFERROR(__xludf.DUMMYFUNCTION("""COMPUTED_VALUE"""),18945)</f>
        <v>18945</v>
      </c>
      <c r="E51" s="4">
        <f ca="1">IFERROR(__xludf.DUMMYFUNCTION("""COMPUTED_VALUE"""),74)</f>
        <v>74</v>
      </c>
      <c r="F51" s="1" t="str">
        <f ca="1">IFERROR(__xludf.DUMMYFUNCTION("""COMPUTED_VALUE"""),"steveoliver@telkomsa.net")</f>
        <v>steveoliver@telkomsa.net</v>
      </c>
      <c r="G51" s="5">
        <f ca="1">IFERROR(__xludf.DUMMYFUNCTION("""COMPUTED_VALUE"""),832557262)</f>
        <v>832557262</v>
      </c>
      <c r="H51" s="4">
        <f ca="1">IFERROR(__xludf.DUMMYFUNCTION("""COMPUTED_VALUE"""),2700082012)</f>
        <v>2700082012</v>
      </c>
      <c r="I51" s="1" t="str">
        <f ca="1">IFERROR(__xludf.DUMMYFUNCTION("""COMPUTED_VALUE"""),"Umkomaas")</f>
        <v>Umkomaas</v>
      </c>
      <c r="J51" s="3">
        <f ca="1">IFERROR(__xludf.DUMMYFUNCTION("""COMPUTED_VALUE"""),45072)</f>
        <v>45072</v>
      </c>
      <c r="K51" s="7">
        <f ca="1">IFERROR(__xludf.DUMMYFUNCTION("""COMPUTED_VALUE"""),3)</f>
        <v>3</v>
      </c>
      <c r="L51" s="98" t="b">
        <f ca="1">IFERROR(__xludf.DUMMYFUNCTION("""COMPUTED_VALUE"""),FALSE)</f>
        <v>0</v>
      </c>
      <c r="M51" s="98" t="b">
        <f ca="1">IFERROR(__xludf.DUMMYFUNCTION("""COMPUTED_VALUE"""),FALSE)</f>
        <v>0</v>
      </c>
      <c r="N51" s="98" t="b">
        <f ca="1">IFERROR(__xludf.DUMMYFUNCTION("""COMPUTED_VALUE"""),FALSE)</f>
        <v>0</v>
      </c>
      <c r="O51" s="98" t="b">
        <f ca="1">IFERROR(__xludf.DUMMYFUNCTION("""COMPUTED_VALUE"""),FALSE)</f>
        <v>0</v>
      </c>
      <c r="P51" s="98" t="b">
        <f ca="1">IFERROR(__xludf.DUMMYFUNCTION("""COMPUTED_VALUE"""),FALSE)</f>
        <v>0</v>
      </c>
      <c r="Q51" s="98" t="b">
        <f ca="1">IFERROR(__xludf.DUMMYFUNCTION("""COMPUTED_VALUE"""),FALSE)</f>
        <v>0</v>
      </c>
      <c r="R51" s="98" t="b">
        <f ca="1">IFERROR(__xludf.DUMMYFUNCTION("""COMPUTED_VALUE"""),FALSE)</f>
        <v>0</v>
      </c>
      <c r="S51" s="98"/>
      <c r="T51" s="98"/>
      <c r="U51" s="98"/>
      <c r="V51" s="98"/>
    </row>
    <row r="52" spans="1:22" ht="16.5" customHeight="1" x14ac:dyDescent="0.2">
      <c r="A52" s="6" t="str">
        <f ca="1">IFERROR(__xludf.DUMMYFUNCTION("""COMPUTED_VALUE"""),"Olivier")</f>
        <v>Olivier</v>
      </c>
      <c r="B52" s="1" t="str">
        <f ca="1">IFERROR(__xludf.DUMMYFUNCTION("""COMPUTED_VALUE"""),"Poen")</f>
        <v>Poen</v>
      </c>
      <c r="C52" s="2" t="str">
        <f ca="1">IFERROR(__xludf.DUMMYFUNCTION("""COMPUTED_VALUE"""),"LSC")</f>
        <v>LSC</v>
      </c>
      <c r="D52" s="3">
        <f ca="1">IFERROR(__xludf.DUMMYFUNCTION("""COMPUTED_VALUE"""),20654)</f>
        <v>20654</v>
      </c>
      <c r="E52" s="4">
        <f ca="1">IFERROR(__xludf.DUMMYFUNCTION("""COMPUTED_VALUE"""),69)</f>
        <v>69</v>
      </c>
      <c r="F52" s="1" t="str">
        <f ca="1">IFERROR(__xludf.DUMMYFUNCTION("""COMPUTED_VALUE"""),"poenolivier@hotmail.com")</f>
        <v>poenolivier@hotmail.com</v>
      </c>
      <c r="G52" s="5">
        <f ca="1">IFERROR(__xludf.DUMMYFUNCTION("""COMPUTED_VALUE"""),824551976)</f>
        <v>824551976</v>
      </c>
      <c r="H52" s="4">
        <f ca="1">IFERROR(__xludf.DUMMYFUNCTION("""COMPUTED_VALUE"""),2700113907)</f>
        <v>2700113907</v>
      </c>
      <c r="I52" s="1" t="str">
        <f ca="1">IFERROR(__xludf.DUMMYFUNCTION("""COMPUTED_VALUE"""),"Umdoni")</f>
        <v>Umdoni</v>
      </c>
      <c r="J52" s="3">
        <f ca="1">IFERROR(__xludf.DUMMYFUNCTION("""COMPUTED_VALUE"""),39037)</f>
        <v>39037</v>
      </c>
      <c r="K52" s="7">
        <f ca="1">IFERROR(__xludf.DUMMYFUNCTION("""COMPUTED_VALUE"""),20)</f>
        <v>20</v>
      </c>
      <c r="L52" s="98" t="b">
        <f ca="1">IFERROR(__xludf.DUMMYFUNCTION("""COMPUTED_VALUE"""),FALSE)</f>
        <v>0</v>
      </c>
      <c r="M52" s="98" t="b">
        <f ca="1">IFERROR(__xludf.DUMMYFUNCTION("""COMPUTED_VALUE"""),FALSE)</f>
        <v>0</v>
      </c>
      <c r="N52" s="98" t="b">
        <f ca="1">IFERROR(__xludf.DUMMYFUNCTION("""COMPUTED_VALUE"""),FALSE)</f>
        <v>0</v>
      </c>
      <c r="O52" s="98" t="b">
        <f ca="1">IFERROR(__xludf.DUMMYFUNCTION("""COMPUTED_VALUE"""),FALSE)</f>
        <v>0</v>
      </c>
      <c r="P52" s="98" t="b">
        <f ca="1">IFERROR(__xludf.DUMMYFUNCTION("""COMPUTED_VALUE"""),FALSE)</f>
        <v>0</v>
      </c>
      <c r="Q52" s="98" t="b">
        <f ca="1">IFERROR(__xludf.DUMMYFUNCTION("""COMPUTED_VALUE"""),FALSE)</f>
        <v>0</v>
      </c>
      <c r="R52" s="98" t="b">
        <f ca="1">IFERROR(__xludf.DUMMYFUNCTION("""COMPUTED_VALUE"""),FALSE)</f>
        <v>0</v>
      </c>
      <c r="S52" s="98"/>
      <c r="T52" s="98"/>
      <c r="U52" s="98"/>
      <c r="V52" s="98"/>
    </row>
    <row r="53" spans="1:22" ht="16.5" customHeight="1" x14ac:dyDescent="0.2">
      <c r="A53" s="6" t="str">
        <f ca="1">IFERROR(__xludf.DUMMYFUNCTION("""COMPUTED_VALUE"""),"Peens")</f>
        <v>Peens</v>
      </c>
      <c r="B53" s="1" t="str">
        <f ca="1">IFERROR(__xludf.DUMMYFUNCTION("""COMPUTED_VALUE"""),"Werner")</f>
        <v>Werner</v>
      </c>
      <c r="C53" s="2" t="str">
        <f ca="1">IFERROR(__xludf.DUMMYFUNCTION("""COMPUTED_VALUE"""),"LSC")</f>
        <v>LSC</v>
      </c>
      <c r="D53" s="3"/>
      <c r="E53" s="4"/>
      <c r="F53" s="1"/>
      <c r="G53" s="5">
        <f ca="1">IFERROR(__xludf.DUMMYFUNCTION("""COMPUTED_VALUE"""),606933006)</f>
        <v>606933006</v>
      </c>
      <c r="H53" s="4">
        <f ca="1">IFERROR(__xludf.DUMMYFUNCTION("""COMPUTED_VALUE"""),2700251368)</f>
        <v>2700251368</v>
      </c>
      <c r="I53" s="1" t="str">
        <f ca="1">IFERROR(__xludf.DUMMYFUNCTION("""COMPUTED_VALUE"""),"Margate CC")</f>
        <v>Margate CC</v>
      </c>
      <c r="J53" s="3"/>
      <c r="K53" s="7">
        <f ca="1">IFERROR(__xludf.DUMMYFUNCTION("""COMPUTED_VALUE"""),127)</f>
        <v>127</v>
      </c>
      <c r="L53" s="98" t="b">
        <f ca="1">IFERROR(__xludf.DUMMYFUNCTION("""COMPUTED_VALUE"""),FALSE)</f>
        <v>0</v>
      </c>
      <c r="M53" s="98" t="b">
        <f ca="1">IFERROR(__xludf.DUMMYFUNCTION("""COMPUTED_VALUE"""),FALSE)</f>
        <v>0</v>
      </c>
      <c r="N53" s="98" t="b">
        <f ca="1">IFERROR(__xludf.DUMMYFUNCTION("""COMPUTED_VALUE"""),FALSE)</f>
        <v>0</v>
      </c>
      <c r="O53" s="98" t="b">
        <f ca="1">IFERROR(__xludf.DUMMYFUNCTION("""COMPUTED_VALUE"""),FALSE)</f>
        <v>0</v>
      </c>
      <c r="P53" s="98" t="b">
        <f ca="1">IFERROR(__xludf.DUMMYFUNCTION("""COMPUTED_VALUE"""),FALSE)</f>
        <v>0</v>
      </c>
      <c r="Q53" s="98" t="b">
        <f ca="1">IFERROR(__xludf.DUMMYFUNCTION("""COMPUTED_VALUE"""),FALSE)</f>
        <v>0</v>
      </c>
      <c r="R53" s="98" t="b">
        <f ca="1">IFERROR(__xludf.DUMMYFUNCTION("""COMPUTED_VALUE"""),FALSE)</f>
        <v>0</v>
      </c>
      <c r="S53" s="98"/>
      <c r="T53" s="98"/>
      <c r="U53" s="98"/>
      <c r="V53" s="98"/>
    </row>
    <row r="54" spans="1:22" ht="16.5" customHeight="1" x14ac:dyDescent="0.2">
      <c r="A54" s="6" t="str">
        <f ca="1">IFERROR(__xludf.DUMMYFUNCTION("""COMPUTED_VALUE"""),"Penny")</f>
        <v>Penny</v>
      </c>
      <c r="B54" s="1" t="str">
        <f ca="1">IFERROR(__xludf.DUMMYFUNCTION("""COMPUTED_VALUE"""),"Colin")</f>
        <v>Colin</v>
      </c>
      <c r="C54" s="2" t="str">
        <f ca="1">IFERROR(__xludf.DUMMYFUNCTION("""COMPUTED_VALUE"""),"LSC")</f>
        <v>LSC</v>
      </c>
      <c r="D54" s="3"/>
      <c r="E54" s="4"/>
      <c r="F54" s="1"/>
      <c r="G54" s="5">
        <f ca="1">IFERROR(__xludf.DUMMYFUNCTION("""COMPUTED_VALUE"""),847268203)</f>
        <v>847268203</v>
      </c>
      <c r="H54" s="4">
        <f ca="1">IFERROR(__xludf.DUMMYFUNCTION("""COMPUTED_VALUE"""),2700205918)</f>
        <v>2700205918</v>
      </c>
      <c r="I54" s="1" t="str">
        <f ca="1">IFERROR(__xludf.DUMMYFUNCTION("""COMPUTED_VALUE"""),"Margate CC")</f>
        <v>Margate CC</v>
      </c>
      <c r="J54" s="3">
        <f ca="1">IFERROR(__xludf.DUMMYFUNCTION("""COMPUTED_VALUE"""),46006)</f>
        <v>46006</v>
      </c>
      <c r="K54" s="7">
        <f ca="1">IFERROR(__xludf.DUMMYFUNCTION("""COMPUTED_VALUE"""),1)</f>
        <v>1</v>
      </c>
      <c r="L54" s="98" t="b">
        <f ca="1">IFERROR(__xludf.DUMMYFUNCTION("""COMPUTED_VALUE"""),FALSE)</f>
        <v>0</v>
      </c>
      <c r="M54" s="98" t="b">
        <f ca="1">IFERROR(__xludf.DUMMYFUNCTION("""COMPUTED_VALUE"""),FALSE)</f>
        <v>0</v>
      </c>
      <c r="N54" s="98" t="b">
        <f ca="1">IFERROR(__xludf.DUMMYFUNCTION("""COMPUTED_VALUE"""),FALSE)</f>
        <v>0</v>
      </c>
      <c r="O54" s="98" t="b">
        <f ca="1">IFERROR(__xludf.DUMMYFUNCTION("""COMPUTED_VALUE"""),FALSE)</f>
        <v>0</v>
      </c>
      <c r="P54" s="98" t="b">
        <f ca="1">IFERROR(__xludf.DUMMYFUNCTION("""COMPUTED_VALUE"""),FALSE)</f>
        <v>0</v>
      </c>
      <c r="Q54" s="98" t="b">
        <f ca="1">IFERROR(__xludf.DUMMYFUNCTION("""COMPUTED_VALUE"""),FALSE)</f>
        <v>0</v>
      </c>
      <c r="R54" s="98" t="b">
        <f ca="1">IFERROR(__xludf.DUMMYFUNCTION("""COMPUTED_VALUE"""),FALSE)</f>
        <v>0</v>
      </c>
      <c r="S54" s="98"/>
      <c r="T54" s="98"/>
      <c r="U54" s="98"/>
      <c r="V54" s="98"/>
    </row>
    <row r="55" spans="1:22" ht="16.5" customHeight="1" x14ac:dyDescent="0.2">
      <c r="A55" s="6" t="str">
        <f ca="1">IFERROR(__xludf.DUMMYFUNCTION("""COMPUTED_VALUE"""),"Pereira")</f>
        <v>Pereira</v>
      </c>
      <c r="B55" s="1" t="str">
        <f ca="1">IFERROR(__xludf.DUMMYFUNCTION("""COMPUTED_VALUE"""),"Carlos")</f>
        <v>Carlos</v>
      </c>
      <c r="C55" s="2" t="str">
        <f ca="1">IFERROR(__xludf.DUMMYFUNCTION("""COMPUTED_VALUE"""),"LSC")</f>
        <v>LSC</v>
      </c>
      <c r="D55" s="3">
        <f ca="1">IFERROR(__xludf.DUMMYFUNCTION("""COMPUTED_VALUE"""),18692)</f>
        <v>18692</v>
      </c>
      <c r="E55" s="4">
        <f ca="1">IFERROR(__xludf.DUMMYFUNCTION("""COMPUTED_VALUE"""),74)</f>
        <v>74</v>
      </c>
      <c r="F55" s="1" t="str">
        <f ca="1">IFERROR(__xludf.DUMMYFUNCTION("""COMPUTED_VALUE"""),"pereira.caf@gmail.com")</f>
        <v>pereira.caf@gmail.com</v>
      </c>
      <c r="G55" s="5">
        <f ca="1">IFERROR(__xludf.DUMMYFUNCTION("""COMPUTED_VALUE"""),824375560)</f>
        <v>824375560</v>
      </c>
      <c r="H55" s="4">
        <f ca="1">IFERROR(__xludf.DUMMYFUNCTION("""COMPUTED_VALUE"""),2700185886)</f>
        <v>2700185886</v>
      </c>
      <c r="I55" s="1" t="str">
        <f ca="1">IFERROR(__xludf.DUMMYFUNCTION("""COMPUTED_VALUE"""),"Margate CC")</f>
        <v>Margate CC</v>
      </c>
      <c r="J55" s="3">
        <f ca="1">IFERROR(__xludf.DUMMYFUNCTION("""COMPUTED_VALUE"""),45934)</f>
        <v>45934</v>
      </c>
      <c r="K55" s="7">
        <f ca="1">IFERROR(__xludf.DUMMYFUNCTION("""COMPUTED_VALUE"""),1)</f>
        <v>1</v>
      </c>
      <c r="L55" s="98" t="b">
        <f ca="1">IFERROR(__xludf.DUMMYFUNCTION("""COMPUTED_VALUE"""),FALSE)</f>
        <v>0</v>
      </c>
      <c r="M55" s="98" t="b">
        <f ca="1">IFERROR(__xludf.DUMMYFUNCTION("""COMPUTED_VALUE"""),FALSE)</f>
        <v>0</v>
      </c>
      <c r="N55" s="98" t="b">
        <f ca="1">IFERROR(__xludf.DUMMYFUNCTION("""COMPUTED_VALUE"""),FALSE)</f>
        <v>0</v>
      </c>
      <c r="O55" s="98" t="b">
        <f ca="1">IFERROR(__xludf.DUMMYFUNCTION("""COMPUTED_VALUE"""),FALSE)</f>
        <v>0</v>
      </c>
      <c r="P55" s="98" t="b">
        <f ca="1">IFERROR(__xludf.DUMMYFUNCTION("""COMPUTED_VALUE"""),FALSE)</f>
        <v>0</v>
      </c>
      <c r="Q55" s="98" t="b">
        <f ca="1">IFERROR(__xludf.DUMMYFUNCTION("""COMPUTED_VALUE"""),FALSE)</f>
        <v>0</v>
      </c>
      <c r="R55" s="98" t="b">
        <f ca="1">IFERROR(__xludf.DUMMYFUNCTION("""COMPUTED_VALUE"""),FALSE)</f>
        <v>0</v>
      </c>
      <c r="S55" s="98"/>
      <c r="T55" s="98"/>
      <c r="U55" s="98"/>
      <c r="V55" s="98"/>
    </row>
    <row r="56" spans="1:22" ht="16.5" customHeight="1" x14ac:dyDescent="0.2">
      <c r="A56" s="6" t="str">
        <f ca="1">IFERROR(__xludf.DUMMYFUNCTION("""COMPUTED_VALUE"""),"Pietersen")</f>
        <v>Pietersen</v>
      </c>
      <c r="B56" s="1" t="str">
        <f ca="1">IFERROR(__xludf.DUMMYFUNCTION("""COMPUTED_VALUE"""),"Martin")</f>
        <v>Martin</v>
      </c>
      <c r="C56" s="2" t="str">
        <f ca="1">IFERROR(__xludf.DUMMYFUNCTION("""COMPUTED_VALUE"""),"LSC")</f>
        <v>LSC</v>
      </c>
      <c r="D56" s="3">
        <f ca="1">IFERROR(__xludf.DUMMYFUNCTION("""COMPUTED_VALUE"""),21899)</f>
        <v>21899</v>
      </c>
      <c r="E56" s="4">
        <f ca="1">IFERROR(__xludf.DUMMYFUNCTION("""COMPUTED_VALUE"""),66)</f>
        <v>66</v>
      </c>
      <c r="F56" s="1" t="str">
        <f ca="1">IFERROR(__xludf.DUMMYFUNCTION("""COMPUTED_VALUE"""),"pieterwm50@gmail.com")</f>
        <v>pieterwm50@gmail.com</v>
      </c>
      <c r="G56" s="5">
        <f ca="1">IFERROR(__xludf.DUMMYFUNCTION("""COMPUTED_VALUE"""),828265060)</f>
        <v>828265060</v>
      </c>
      <c r="H56" s="4">
        <f ca="1">IFERROR(__xludf.DUMMYFUNCTION("""COMPUTED_VALUE"""),2700282009)</f>
        <v>2700282009</v>
      </c>
      <c r="I56" s="1" t="str">
        <f ca="1">IFERROR(__xludf.DUMMYFUNCTION("""COMPUTED_VALUE"""),"Port Edward CC")</f>
        <v>Port Edward CC</v>
      </c>
      <c r="J56" s="3">
        <f ca="1">IFERROR(__xludf.DUMMYFUNCTION("""COMPUTED_VALUE"""),46051)</f>
        <v>46051</v>
      </c>
      <c r="K56" s="7">
        <f ca="1">IFERROR(__xludf.DUMMYFUNCTION("""COMPUTED_VALUE"""),0)</f>
        <v>0</v>
      </c>
      <c r="L56" s="98" t="b">
        <f ca="1">IFERROR(__xludf.DUMMYFUNCTION("""COMPUTED_VALUE"""),FALSE)</f>
        <v>0</v>
      </c>
      <c r="M56" s="98" t="b">
        <f ca="1">IFERROR(__xludf.DUMMYFUNCTION("""COMPUTED_VALUE"""),FALSE)</f>
        <v>0</v>
      </c>
      <c r="N56" s="98" t="b">
        <f ca="1">IFERROR(__xludf.DUMMYFUNCTION("""COMPUTED_VALUE"""),FALSE)</f>
        <v>0</v>
      </c>
      <c r="O56" s="98" t="b">
        <f ca="1">IFERROR(__xludf.DUMMYFUNCTION("""COMPUTED_VALUE"""),FALSE)</f>
        <v>0</v>
      </c>
      <c r="P56" s="98" t="b">
        <f ca="1">IFERROR(__xludf.DUMMYFUNCTION("""COMPUTED_VALUE"""),FALSE)</f>
        <v>0</v>
      </c>
      <c r="Q56" s="98" t="b">
        <f ca="1">IFERROR(__xludf.DUMMYFUNCTION("""COMPUTED_VALUE"""),FALSE)</f>
        <v>0</v>
      </c>
      <c r="R56" s="98" t="b">
        <f ca="1">IFERROR(__xludf.DUMMYFUNCTION("""COMPUTED_VALUE"""),FALSE)</f>
        <v>0</v>
      </c>
      <c r="S56" s="98"/>
      <c r="T56" s="98"/>
      <c r="U56" s="98"/>
      <c r="V56" s="98"/>
    </row>
    <row r="57" spans="1:22" ht="16.5" customHeight="1" x14ac:dyDescent="0.2">
      <c r="A57" s="6" t="str">
        <f ca="1">IFERROR(__xludf.DUMMYFUNCTION("""COMPUTED_VALUE"""),"Potts")</f>
        <v>Potts</v>
      </c>
      <c r="B57" s="1" t="str">
        <f ca="1">IFERROR(__xludf.DUMMYFUNCTION("""COMPUTED_VALUE"""),"Des")</f>
        <v>Des</v>
      </c>
      <c r="C57" s="2" t="str">
        <f ca="1">IFERROR(__xludf.DUMMYFUNCTION("""COMPUTED_VALUE"""),"LSC")</f>
        <v>LSC</v>
      </c>
      <c r="D57" s="3"/>
      <c r="E57" s="4"/>
      <c r="F57" s="1"/>
      <c r="G57" s="5">
        <f ca="1">IFERROR(__xludf.DUMMYFUNCTION("""COMPUTED_VALUE"""),825566560)</f>
        <v>825566560</v>
      </c>
      <c r="H57" s="4">
        <f ca="1">IFERROR(__xludf.DUMMYFUNCTION("""COMPUTED_VALUE"""),2700325903)</f>
        <v>2700325903</v>
      </c>
      <c r="I57" s="1" t="str">
        <f ca="1">IFERROR(__xludf.DUMMYFUNCTION("""COMPUTED_VALUE"""),"Margate CC")</f>
        <v>Margate CC</v>
      </c>
      <c r="J57" s="3">
        <f ca="1">IFERROR(__xludf.DUMMYFUNCTION("""COMPUTED_VALUE"""),46033)</f>
        <v>46033</v>
      </c>
      <c r="K57" s="7">
        <f ca="1">IFERROR(__xludf.DUMMYFUNCTION("""COMPUTED_VALUE"""),0)</f>
        <v>0</v>
      </c>
      <c r="L57" s="98" t="b">
        <f ca="1">IFERROR(__xludf.DUMMYFUNCTION("""COMPUTED_VALUE"""),FALSE)</f>
        <v>0</v>
      </c>
      <c r="M57" s="98" t="b">
        <f ca="1">IFERROR(__xludf.DUMMYFUNCTION("""COMPUTED_VALUE"""),FALSE)</f>
        <v>0</v>
      </c>
      <c r="N57" s="98" t="b">
        <f ca="1">IFERROR(__xludf.DUMMYFUNCTION("""COMPUTED_VALUE"""),FALSE)</f>
        <v>0</v>
      </c>
      <c r="O57" s="98" t="b">
        <f ca="1">IFERROR(__xludf.DUMMYFUNCTION("""COMPUTED_VALUE"""),FALSE)</f>
        <v>0</v>
      </c>
      <c r="P57" s="98" t="b">
        <f ca="1">IFERROR(__xludf.DUMMYFUNCTION("""COMPUTED_VALUE"""),FALSE)</f>
        <v>0</v>
      </c>
      <c r="Q57" s="98" t="b">
        <f ca="1">IFERROR(__xludf.DUMMYFUNCTION("""COMPUTED_VALUE"""),FALSE)</f>
        <v>0</v>
      </c>
      <c r="R57" s="98" t="b">
        <f ca="1">IFERROR(__xludf.DUMMYFUNCTION("""COMPUTED_VALUE"""),FALSE)</f>
        <v>0</v>
      </c>
      <c r="S57" s="98"/>
      <c r="T57" s="98"/>
      <c r="U57" s="98"/>
      <c r="V57" s="98"/>
    </row>
    <row r="58" spans="1:22" ht="16.5" customHeight="1" x14ac:dyDescent="0.2">
      <c r="A58" s="6" t="str">
        <f ca="1">IFERROR(__xludf.DUMMYFUNCTION("""COMPUTED_VALUE"""),"Sleep")</f>
        <v>Sleep</v>
      </c>
      <c r="B58" s="1" t="str">
        <f ca="1">IFERROR(__xludf.DUMMYFUNCTION("""COMPUTED_VALUE"""),"Dave")</f>
        <v>Dave</v>
      </c>
      <c r="C58" s="2" t="str">
        <f ca="1">IFERROR(__xludf.DUMMYFUNCTION("""COMPUTED_VALUE"""),"LSC")</f>
        <v>LSC</v>
      </c>
      <c r="D58" s="3">
        <f ca="1">IFERROR(__xludf.DUMMYFUNCTION("""COMPUTED_VALUE"""),24597)</f>
        <v>24597</v>
      </c>
      <c r="E58" s="4">
        <f ca="1">IFERROR(__xludf.DUMMYFUNCTION("""COMPUTED_VALUE"""),58)</f>
        <v>58</v>
      </c>
      <c r="F58" s="1" t="str">
        <f ca="1">IFERROR(__xludf.DUMMYFUNCTION("""COMPUTED_VALUE"""),"dave@tradav.co.za")</f>
        <v>dave@tradav.co.za</v>
      </c>
      <c r="G58" s="5">
        <f ca="1">IFERROR(__xludf.DUMMYFUNCTION("""COMPUTED_VALUE"""),24504340)</f>
        <v>24504340</v>
      </c>
      <c r="H58" s="4">
        <f ca="1">IFERROR(__xludf.DUMMYFUNCTION("""COMPUTED_VALUE"""),2700068833)</f>
        <v>2700068833</v>
      </c>
      <c r="I58" s="1" t="str">
        <f ca="1">IFERROR(__xludf.DUMMYFUNCTION("""COMPUTED_VALUE"""),"Margate CC")</f>
        <v>Margate CC</v>
      </c>
      <c r="J58" s="3">
        <f ca="1">IFERROR(__xludf.DUMMYFUNCTION("""COMPUTED_VALUE"""),46048)</f>
        <v>46048</v>
      </c>
      <c r="K58" s="7">
        <f ca="1">IFERROR(__xludf.DUMMYFUNCTION("""COMPUTED_VALUE"""),0)</f>
        <v>0</v>
      </c>
      <c r="L58" s="98" t="b">
        <f ca="1">IFERROR(__xludf.DUMMYFUNCTION("""COMPUTED_VALUE"""),FALSE)</f>
        <v>0</v>
      </c>
      <c r="M58" s="98" t="b">
        <f ca="1">IFERROR(__xludf.DUMMYFUNCTION("""COMPUTED_VALUE"""),FALSE)</f>
        <v>0</v>
      </c>
      <c r="N58" s="98" t="b">
        <f ca="1">IFERROR(__xludf.DUMMYFUNCTION("""COMPUTED_VALUE"""),FALSE)</f>
        <v>0</v>
      </c>
      <c r="O58" s="98" t="b">
        <f ca="1">IFERROR(__xludf.DUMMYFUNCTION("""COMPUTED_VALUE"""),FALSE)</f>
        <v>0</v>
      </c>
      <c r="P58" s="98" t="b">
        <f ca="1">IFERROR(__xludf.DUMMYFUNCTION("""COMPUTED_VALUE"""),FALSE)</f>
        <v>0</v>
      </c>
      <c r="Q58" s="98" t="b">
        <f ca="1">IFERROR(__xludf.DUMMYFUNCTION("""COMPUTED_VALUE"""),FALSE)</f>
        <v>0</v>
      </c>
      <c r="R58" s="98" t="b">
        <f ca="1">IFERROR(__xludf.DUMMYFUNCTION("""COMPUTED_VALUE"""),FALSE)</f>
        <v>0</v>
      </c>
      <c r="S58" s="98"/>
      <c r="T58" s="98"/>
      <c r="U58" s="98"/>
      <c r="V58" s="98"/>
    </row>
    <row r="59" spans="1:22" ht="16.5" customHeight="1" x14ac:dyDescent="0.2">
      <c r="A59" s="6" t="str">
        <f ca="1">IFERROR(__xludf.DUMMYFUNCTION("""COMPUTED_VALUE"""),"Strickland")</f>
        <v>Strickland</v>
      </c>
      <c r="B59" s="1" t="str">
        <f ca="1">IFERROR(__xludf.DUMMYFUNCTION("""COMPUTED_VALUE"""),"Hugh")</f>
        <v>Hugh</v>
      </c>
      <c r="C59" s="2" t="str">
        <f ca="1">IFERROR(__xludf.DUMMYFUNCTION("""COMPUTED_VALUE"""),"LSC")</f>
        <v>LSC</v>
      </c>
      <c r="D59" s="3">
        <f ca="1">IFERROR(__xludf.DUMMYFUNCTION("""COMPUTED_VALUE"""),24619)</f>
        <v>24619</v>
      </c>
      <c r="E59" s="4">
        <f ca="1">IFERROR(__xludf.DUMMYFUNCTION("""COMPUTED_VALUE"""),58)</f>
        <v>58</v>
      </c>
      <c r="F59" s="1" t="str">
        <f ca="1">IFERROR(__xludf.DUMMYFUNCTION("""COMPUTED_VALUE"""),"hugh@strickland.co.za")</f>
        <v>hugh@strickland.co.za</v>
      </c>
      <c r="G59" s="5">
        <f ca="1">IFERROR(__xludf.DUMMYFUNCTION("""COMPUTED_VALUE"""),824963338)</f>
        <v>824963338</v>
      </c>
      <c r="H59" s="4">
        <f ca="1">IFERROR(__xludf.DUMMYFUNCTION("""COMPUTED_VALUE"""),2700104455)</f>
        <v>2700104455</v>
      </c>
      <c r="I59" s="1" t="str">
        <f ca="1">IFERROR(__xludf.DUMMYFUNCTION("""COMPUTED_VALUE"""),"Margate CC")</f>
        <v>Margate CC</v>
      </c>
      <c r="J59" s="3">
        <f ca="1">IFERROR(__xludf.DUMMYFUNCTION("""COMPUTED_VALUE"""),46048)</f>
        <v>46048</v>
      </c>
      <c r="K59" s="7">
        <f ca="1">IFERROR(__xludf.DUMMYFUNCTION("""COMPUTED_VALUE"""),0)</f>
        <v>0</v>
      </c>
      <c r="L59" s="98" t="b">
        <f ca="1">IFERROR(__xludf.DUMMYFUNCTION("""COMPUTED_VALUE"""),FALSE)</f>
        <v>0</v>
      </c>
      <c r="M59" s="98" t="b">
        <f ca="1">IFERROR(__xludf.DUMMYFUNCTION("""COMPUTED_VALUE"""),FALSE)</f>
        <v>0</v>
      </c>
      <c r="N59" s="98" t="b">
        <f ca="1">IFERROR(__xludf.DUMMYFUNCTION("""COMPUTED_VALUE"""),FALSE)</f>
        <v>0</v>
      </c>
      <c r="O59" s="98" t="b">
        <f ca="1">IFERROR(__xludf.DUMMYFUNCTION("""COMPUTED_VALUE"""),FALSE)</f>
        <v>0</v>
      </c>
      <c r="P59" s="98" t="b">
        <f ca="1">IFERROR(__xludf.DUMMYFUNCTION("""COMPUTED_VALUE"""),FALSE)</f>
        <v>0</v>
      </c>
      <c r="Q59" s="98" t="b">
        <f ca="1">IFERROR(__xludf.DUMMYFUNCTION("""COMPUTED_VALUE"""),FALSE)</f>
        <v>0</v>
      </c>
      <c r="R59" s="98" t="b">
        <f ca="1">IFERROR(__xludf.DUMMYFUNCTION("""COMPUTED_VALUE"""),FALSE)</f>
        <v>0</v>
      </c>
      <c r="S59" s="98"/>
      <c r="T59" s="98"/>
      <c r="U59" s="98"/>
      <c r="V59" s="98"/>
    </row>
    <row r="60" spans="1:22" ht="16.5" customHeight="1" x14ac:dyDescent="0.2">
      <c r="A60" s="6" t="str">
        <f ca="1">IFERROR(__xludf.DUMMYFUNCTION("""COMPUTED_VALUE"""),"Tarr")</f>
        <v>Tarr</v>
      </c>
      <c r="B60" s="1" t="str">
        <f ca="1">IFERROR(__xludf.DUMMYFUNCTION("""COMPUTED_VALUE"""),"Allen")</f>
        <v>Allen</v>
      </c>
      <c r="C60" s="2" t="str">
        <f ca="1">IFERROR(__xludf.DUMMYFUNCTION("""COMPUTED_VALUE"""),"LSC")</f>
        <v>LSC</v>
      </c>
      <c r="D60" s="3">
        <f ca="1">IFERROR(__xludf.DUMMYFUNCTION("""COMPUTED_VALUE"""),22814)</f>
        <v>22814</v>
      </c>
      <c r="E60" s="4">
        <f ca="1">IFERROR(__xludf.DUMMYFUNCTION("""COMPUTED_VALUE"""),63)</f>
        <v>63</v>
      </c>
      <c r="F60" s="1" t="str">
        <f ca="1">IFERROR(__xludf.DUMMYFUNCTION("""COMPUTED_VALUE"""),"allen.tarr62@gmail.com")</f>
        <v>allen.tarr62@gmail.com</v>
      </c>
      <c r="G60" s="5">
        <f ca="1">IFERROR(__xludf.DUMMYFUNCTION("""COMPUTED_VALUE"""),832645676)</f>
        <v>832645676</v>
      </c>
      <c r="H60" s="4">
        <f ca="1">IFERROR(__xludf.DUMMYFUNCTION("""COMPUTED_VALUE"""),2700090314)</f>
        <v>2700090314</v>
      </c>
      <c r="I60" s="1" t="str">
        <f ca="1">IFERROR(__xludf.DUMMYFUNCTION("""COMPUTED_VALUE"""),"Margate")</f>
        <v>Margate</v>
      </c>
      <c r="J60" s="3">
        <f ca="1">IFERROR(__xludf.DUMMYFUNCTION("""COMPUTED_VALUE"""),45447)</f>
        <v>45447</v>
      </c>
      <c r="K60" s="7">
        <f ca="1">IFERROR(__xludf.DUMMYFUNCTION("""COMPUTED_VALUE"""),2)</f>
        <v>2</v>
      </c>
      <c r="L60" s="98" t="b">
        <f ca="1">IFERROR(__xludf.DUMMYFUNCTION("""COMPUTED_VALUE"""),FALSE)</f>
        <v>0</v>
      </c>
      <c r="M60" s="98" t="b">
        <f ca="1">IFERROR(__xludf.DUMMYFUNCTION("""COMPUTED_VALUE"""),FALSE)</f>
        <v>0</v>
      </c>
      <c r="N60" s="98" t="b">
        <f ca="1">IFERROR(__xludf.DUMMYFUNCTION("""COMPUTED_VALUE"""),FALSE)</f>
        <v>0</v>
      </c>
      <c r="O60" s="98" t="b">
        <f ca="1">IFERROR(__xludf.DUMMYFUNCTION("""COMPUTED_VALUE"""),FALSE)</f>
        <v>0</v>
      </c>
      <c r="P60" s="98" t="b">
        <f ca="1">IFERROR(__xludf.DUMMYFUNCTION("""COMPUTED_VALUE"""),FALSE)</f>
        <v>0</v>
      </c>
      <c r="Q60" s="98" t="b">
        <f ca="1">IFERROR(__xludf.DUMMYFUNCTION("""COMPUTED_VALUE"""),FALSE)</f>
        <v>0</v>
      </c>
      <c r="R60" s="98" t="b">
        <f ca="1">IFERROR(__xludf.DUMMYFUNCTION("""COMPUTED_VALUE"""),FALSE)</f>
        <v>0</v>
      </c>
      <c r="S60" s="98"/>
      <c r="T60" s="98"/>
      <c r="U60" s="98"/>
      <c r="V60" s="98"/>
    </row>
    <row r="61" spans="1:22" ht="16.5" customHeight="1" x14ac:dyDescent="0.2">
      <c r="A61" s="6" t="str">
        <f ca="1">IFERROR(__xludf.DUMMYFUNCTION("""COMPUTED_VALUE"""),"Terry")</f>
        <v>Terry</v>
      </c>
      <c r="B61" s="1" t="str">
        <f ca="1">IFERROR(__xludf.DUMMYFUNCTION("""COMPUTED_VALUE"""),"Kevin")</f>
        <v>Kevin</v>
      </c>
      <c r="C61" s="2" t="str">
        <f ca="1">IFERROR(__xludf.DUMMYFUNCTION("""COMPUTED_VALUE"""),"LSC")</f>
        <v>LSC</v>
      </c>
      <c r="D61" s="3">
        <f ca="1">IFERROR(__xludf.DUMMYFUNCTION("""COMPUTED_VALUE"""),20952)</f>
        <v>20952</v>
      </c>
      <c r="E61" s="4">
        <f ca="1">IFERROR(__xludf.DUMMYFUNCTION("""COMPUTED_VALUE"""),68)</f>
        <v>68</v>
      </c>
      <c r="F61" s="1" t="str">
        <f ca="1">IFERROR(__xludf.DUMMYFUNCTION("""COMPUTED_VALUE"""),"kgterry57@gmail.com")</f>
        <v>kgterry57@gmail.com</v>
      </c>
      <c r="G61" s="5">
        <f ca="1">IFERROR(__xludf.DUMMYFUNCTION("""COMPUTED_VALUE"""),637349432)</f>
        <v>637349432</v>
      </c>
      <c r="H61" s="4">
        <f ca="1">IFERROR(__xludf.DUMMYFUNCTION("""COMPUTED_VALUE"""),2700103871)</f>
        <v>2700103871</v>
      </c>
      <c r="I61" s="1" t="str">
        <f ca="1">IFERROR(__xludf.DUMMYFUNCTION("""COMPUTED_VALUE"""),"Port Edward CC")</f>
        <v>Port Edward CC</v>
      </c>
      <c r="J61" s="3">
        <f ca="1">IFERROR(__xludf.DUMMYFUNCTION("""COMPUTED_VALUE"""),46051)</f>
        <v>46051</v>
      </c>
      <c r="K61" s="7">
        <f ca="1">IFERROR(__xludf.DUMMYFUNCTION("""COMPUTED_VALUE"""),0)</f>
        <v>0</v>
      </c>
      <c r="L61" s="98" t="b">
        <f ca="1">IFERROR(__xludf.DUMMYFUNCTION("""COMPUTED_VALUE"""),FALSE)</f>
        <v>0</v>
      </c>
      <c r="M61" s="98" t="b">
        <f ca="1">IFERROR(__xludf.DUMMYFUNCTION("""COMPUTED_VALUE"""),FALSE)</f>
        <v>0</v>
      </c>
      <c r="N61" s="98" t="b">
        <f ca="1">IFERROR(__xludf.DUMMYFUNCTION("""COMPUTED_VALUE"""),FALSE)</f>
        <v>0</v>
      </c>
      <c r="O61" s="98" t="b">
        <f ca="1">IFERROR(__xludf.DUMMYFUNCTION("""COMPUTED_VALUE"""),FALSE)</f>
        <v>0</v>
      </c>
      <c r="P61" s="98" t="b">
        <f ca="1">IFERROR(__xludf.DUMMYFUNCTION("""COMPUTED_VALUE"""),FALSE)</f>
        <v>0</v>
      </c>
      <c r="Q61" s="98" t="b">
        <f ca="1">IFERROR(__xludf.DUMMYFUNCTION("""COMPUTED_VALUE"""),FALSE)</f>
        <v>0</v>
      </c>
      <c r="R61" s="98" t="b">
        <f ca="1">IFERROR(__xludf.DUMMYFUNCTION("""COMPUTED_VALUE"""),FALSE)</f>
        <v>0</v>
      </c>
      <c r="S61" s="98"/>
      <c r="T61" s="98"/>
      <c r="U61" s="98"/>
      <c r="V61" s="98"/>
    </row>
    <row r="62" spans="1:22" ht="16.5" customHeight="1" x14ac:dyDescent="0.2">
      <c r="A62" s="6" t="str">
        <f ca="1">IFERROR(__xludf.DUMMYFUNCTION("""COMPUTED_VALUE"""),"van Huyssteen")</f>
        <v>van Huyssteen</v>
      </c>
      <c r="B62" s="1" t="str">
        <f ca="1">IFERROR(__xludf.DUMMYFUNCTION("""COMPUTED_VALUE"""),"Stefanus")</f>
        <v>Stefanus</v>
      </c>
      <c r="C62" s="2" t="str">
        <f ca="1">IFERROR(__xludf.DUMMYFUNCTION("""COMPUTED_VALUE"""),"LSC")</f>
        <v>LSC</v>
      </c>
      <c r="D62" s="3">
        <f ca="1">IFERROR(__xludf.DUMMYFUNCTION("""COMPUTED_VALUE"""),20492)</f>
        <v>20492</v>
      </c>
      <c r="E62" s="4">
        <f ca="1">IFERROR(__xludf.DUMMYFUNCTION("""COMPUTED_VALUE"""),70)</f>
        <v>70</v>
      </c>
      <c r="F62" s="1" t="str">
        <f ca="1">IFERROR(__xludf.DUMMYFUNCTION("""COMPUTED_VALUE"""),"svh.acc@outlook.com")</f>
        <v>svh.acc@outlook.com</v>
      </c>
      <c r="G62" s="5">
        <f ca="1">IFERROR(__xludf.DUMMYFUNCTION("""COMPUTED_VALUE"""),720393060)</f>
        <v>720393060</v>
      </c>
      <c r="H62" s="4">
        <f ca="1">IFERROR(__xludf.DUMMYFUNCTION("""COMPUTED_VALUE"""),2700464703)</f>
        <v>2700464703</v>
      </c>
      <c r="I62" s="1" t="str">
        <f ca="1">IFERROR(__xludf.DUMMYFUNCTION("""COMPUTED_VALUE"""),"Oppenheimer Golf Club")</f>
        <v>Oppenheimer Golf Club</v>
      </c>
      <c r="J62" s="3">
        <f ca="1">IFERROR(__xludf.DUMMYFUNCTION("""COMPUTED_VALUE"""),46073)</f>
        <v>46073</v>
      </c>
      <c r="K62" s="7">
        <f ca="1">IFERROR(__xludf.DUMMYFUNCTION("""COMPUTED_VALUE"""),0)</f>
        <v>0</v>
      </c>
      <c r="L62" s="98" t="b">
        <f ca="1">IFERROR(__xludf.DUMMYFUNCTION("""COMPUTED_VALUE"""),FALSE)</f>
        <v>0</v>
      </c>
      <c r="M62" s="98" t="b">
        <f ca="1">IFERROR(__xludf.DUMMYFUNCTION("""COMPUTED_VALUE"""),FALSE)</f>
        <v>0</v>
      </c>
      <c r="N62" s="98" t="b">
        <f ca="1">IFERROR(__xludf.DUMMYFUNCTION("""COMPUTED_VALUE"""),FALSE)</f>
        <v>0</v>
      </c>
      <c r="O62" s="98" t="b">
        <f ca="1">IFERROR(__xludf.DUMMYFUNCTION("""COMPUTED_VALUE"""),FALSE)</f>
        <v>0</v>
      </c>
      <c r="P62" s="98" t="b">
        <f ca="1">IFERROR(__xludf.DUMMYFUNCTION("""COMPUTED_VALUE"""),FALSE)</f>
        <v>0</v>
      </c>
      <c r="Q62" s="98" t="b">
        <f ca="1">IFERROR(__xludf.DUMMYFUNCTION("""COMPUTED_VALUE"""),FALSE)</f>
        <v>0</v>
      </c>
      <c r="R62" s="98" t="b">
        <f ca="1">IFERROR(__xludf.DUMMYFUNCTION("""COMPUTED_VALUE"""),FALSE)</f>
        <v>0</v>
      </c>
      <c r="S62" s="98"/>
      <c r="T62" s="98"/>
      <c r="U62" s="98"/>
      <c r="V62" s="98"/>
    </row>
    <row r="63" spans="1:22" ht="16.5" customHeight="1" x14ac:dyDescent="0.2">
      <c r="A63" s="6" t="str">
        <f ca="1">IFERROR(__xludf.DUMMYFUNCTION("""COMPUTED_VALUE"""),"Van Wyk")</f>
        <v>Van Wyk</v>
      </c>
      <c r="B63" s="1" t="str">
        <f ca="1">IFERROR(__xludf.DUMMYFUNCTION("""COMPUTED_VALUE"""),"Gav")</f>
        <v>Gav</v>
      </c>
      <c r="C63" s="2" t="str">
        <f ca="1">IFERROR(__xludf.DUMMYFUNCTION("""COMPUTED_VALUE"""),"LSC")</f>
        <v>LSC</v>
      </c>
      <c r="D63" s="3">
        <f ca="1">IFERROR(__xludf.DUMMYFUNCTION("""COMPUTED_VALUE"""),21806)</f>
        <v>21806</v>
      </c>
      <c r="E63" s="4">
        <f ca="1">IFERROR(__xludf.DUMMYFUNCTION("""COMPUTED_VALUE"""),66)</f>
        <v>66</v>
      </c>
      <c r="F63" s="1" t="str">
        <f ca="1">IFERROR(__xludf.DUMMYFUNCTION("""COMPUTED_VALUE"""),"gavbelindarsa@gmail.com")</f>
        <v>gavbelindarsa@gmail.com</v>
      </c>
      <c r="G63" s="5">
        <f ca="1">IFERROR(__xludf.DUMMYFUNCTION("""COMPUTED_VALUE"""),832075659)</f>
        <v>832075659</v>
      </c>
      <c r="H63" s="4">
        <f ca="1">IFERROR(__xludf.DUMMYFUNCTION("""COMPUTED_VALUE"""),2700071033)</f>
        <v>2700071033</v>
      </c>
      <c r="I63" s="1" t="str">
        <f ca="1">IFERROR(__xludf.DUMMYFUNCTION("""COMPUTED_VALUE"""),"Port Shepstone CC")</f>
        <v>Port Shepstone CC</v>
      </c>
      <c r="J63" s="3">
        <f ca="1">IFERROR(__xludf.DUMMYFUNCTION("""COMPUTED_VALUE"""),45970)</f>
        <v>45970</v>
      </c>
      <c r="K63" s="7">
        <f ca="1">IFERROR(__xludf.DUMMYFUNCTION("""COMPUTED_VALUE"""),1)</f>
        <v>1</v>
      </c>
      <c r="L63" s="98" t="b">
        <f ca="1">IFERROR(__xludf.DUMMYFUNCTION("""COMPUTED_VALUE"""),FALSE)</f>
        <v>0</v>
      </c>
      <c r="M63" s="98" t="b">
        <f ca="1">IFERROR(__xludf.DUMMYFUNCTION("""COMPUTED_VALUE"""),FALSE)</f>
        <v>0</v>
      </c>
      <c r="N63" s="98" t="b">
        <f ca="1">IFERROR(__xludf.DUMMYFUNCTION("""COMPUTED_VALUE"""),FALSE)</f>
        <v>0</v>
      </c>
      <c r="O63" s="98" t="b">
        <f ca="1">IFERROR(__xludf.DUMMYFUNCTION("""COMPUTED_VALUE"""),FALSE)</f>
        <v>0</v>
      </c>
      <c r="P63" s="98" t="b">
        <f ca="1">IFERROR(__xludf.DUMMYFUNCTION("""COMPUTED_VALUE"""),FALSE)</f>
        <v>0</v>
      </c>
      <c r="Q63" s="98" t="b">
        <f ca="1">IFERROR(__xludf.DUMMYFUNCTION("""COMPUTED_VALUE"""),FALSE)</f>
        <v>0</v>
      </c>
      <c r="R63" s="98" t="b">
        <f ca="1">IFERROR(__xludf.DUMMYFUNCTION("""COMPUTED_VALUE"""),FALSE)</f>
        <v>0</v>
      </c>
      <c r="S63" s="98"/>
      <c r="T63" s="98"/>
      <c r="U63" s="98"/>
      <c r="V63" s="98"/>
    </row>
    <row r="64" spans="1:22" ht="16.5" customHeight="1" x14ac:dyDescent="0.2">
      <c r="A64" s="6" t="str">
        <f ca="1">IFERROR(__xludf.DUMMYFUNCTION("""COMPUTED_VALUE"""),"Venter")</f>
        <v>Venter</v>
      </c>
      <c r="B64" s="1" t="str">
        <f ca="1">IFERROR(__xludf.DUMMYFUNCTION("""COMPUTED_VALUE"""),"Johann")</f>
        <v>Johann</v>
      </c>
      <c r="C64" s="2" t="str">
        <f ca="1">IFERROR(__xludf.DUMMYFUNCTION("""COMPUTED_VALUE"""),"LSC")</f>
        <v>LSC</v>
      </c>
      <c r="D64" s="3">
        <f ca="1">IFERROR(__xludf.DUMMYFUNCTION("""COMPUTED_VALUE"""),19271)</f>
        <v>19271</v>
      </c>
      <c r="E64" s="4">
        <f ca="1">IFERROR(__xludf.DUMMYFUNCTION("""COMPUTED_VALUE"""),73)</f>
        <v>73</v>
      </c>
      <c r="F64" s="1" t="str">
        <f ca="1">IFERROR(__xludf.DUMMYFUNCTION("""COMPUTED_VALUE"""),"dp@npshost.co.za")</f>
        <v>dp@npshost.co.za</v>
      </c>
      <c r="G64" s="5">
        <f ca="1">IFERROR(__xludf.DUMMYFUNCTION("""COMPUTED_VALUE"""),825645678)</f>
        <v>825645678</v>
      </c>
      <c r="H64" s="4">
        <f ca="1">IFERROR(__xludf.DUMMYFUNCTION("""COMPUTED_VALUE"""),2700250646)</f>
        <v>2700250646</v>
      </c>
      <c r="I64" s="1" t="str">
        <f ca="1">IFERROR(__xludf.DUMMYFUNCTION("""COMPUTED_VALUE"""),"Margate CC")</f>
        <v>Margate CC</v>
      </c>
      <c r="J64" s="3">
        <f ca="1">IFERROR(__xludf.DUMMYFUNCTION("""COMPUTED_VALUE"""),46056)</f>
        <v>46056</v>
      </c>
      <c r="K64" s="7">
        <f ca="1">IFERROR(__xludf.DUMMYFUNCTION("""COMPUTED_VALUE"""),0)</f>
        <v>0</v>
      </c>
      <c r="L64" s="98" t="b">
        <f ca="1">IFERROR(__xludf.DUMMYFUNCTION("""COMPUTED_VALUE"""),FALSE)</f>
        <v>0</v>
      </c>
      <c r="M64" s="98" t="b">
        <f ca="1">IFERROR(__xludf.DUMMYFUNCTION("""COMPUTED_VALUE"""),FALSE)</f>
        <v>0</v>
      </c>
      <c r="N64" s="98" t="b">
        <f ca="1">IFERROR(__xludf.DUMMYFUNCTION("""COMPUTED_VALUE"""),FALSE)</f>
        <v>0</v>
      </c>
      <c r="O64" s="98" t="b">
        <f ca="1">IFERROR(__xludf.DUMMYFUNCTION("""COMPUTED_VALUE"""),FALSE)</f>
        <v>0</v>
      </c>
      <c r="P64" s="98" t="b">
        <f ca="1">IFERROR(__xludf.DUMMYFUNCTION("""COMPUTED_VALUE"""),FALSE)</f>
        <v>0</v>
      </c>
      <c r="Q64" s="98" t="b">
        <f ca="1">IFERROR(__xludf.DUMMYFUNCTION("""COMPUTED_VALUE"""),FALSE)</f>
        <v>0</v>
      </c>
      <c r="R64" s="98" t="b">
        <f ca="1">IFERROR(__xludf.DUMMYFUNCTION("""COMPUTED_VALUE"""),FALSE)</f>
        <v>0</v>
      </c>
      <c r="S64" s="98"/>
      <c r="T64" s="98"/>
      <c r="U64" s="98"/>
      <c r="V64" s="98"/>
    </row>
    <row r="65" spans="1:22" ht="16.5" customHeight="1" x14ac:dyDescent="0.2">
      <c r="A65" s="6" t="str">
        <f ca="1">IFERROR(__xludf.DUMMYFUNCTION("""COMPUTED_VALUE"""),"Wheatcroft")</f>
        <v>Wheatcroft</v>
      </c>
      <c r="B65" s="1" t="str">
        <f ca="1">IFERROR(__xludf.DUMMYFUNCTION("""COMPUTED_VALUE"""),"Brett")</f>
        <v>Brett</v>
      </c>
      <c r="C65" s="2" t="str">
        <f ca="1">IFERROR(__xludf.DUMMYFUNCTION("""COMPUTED_VALUE"""),"LSC")</f>
        <v>LSC</v>
      </c>
      <c r="D65" s="3">
        <f ca="1">IFERROR(__xludf.DUMMYFUNCTION("""COMPUTED_VALUE"""),25731)</f>
        <v>25731</v>
      </c>
      <c r="E65" s="4">
        <f ca="1">IFERROR(__xludf.DUMMYFUNCTION("""COMPUTED_VALUE"""),55)</f>
        <v>55</v>
      </c>
      <c r="F65" s="1" t="str">
        <f ca="1">IFERROR(__xludf.DUMMYFUNCTION("""COMPUTED_VALUE"""),"bwheatcroft1@gmail.com")</f>
        <v>bwheatcroft1@gmail.com</v>
      </c>
      <c r="G65" s="5">
        <f ca="1">IFERROR(__xludf.DUMMYFUNCTION("""COMPUTED_VALUE"""),824934773)</f>
        <v>824934773</v>
      </c>
      <c r="H65" s="4">
        <f ca="1">IFERROR(__xludf.DUMMYFUNCTION("""COMPUTED_VALUE"""),2700106290)</f>
        <v>2700106290</v>
      </c>
      <c r="I65" s="1" t="str">
        <f ca="1">IFERROR(__xludf.DUMMYFUNCTION("""COMPUTED_VALUE"""),"Port Shepstone CC")</f>
        <v>Port Shepstone CC</v>
      </c>
      <c r="J65" s="3">
        <f ca="1">IFERROR(__xludf.DUMMYFUNCTION("""COMPUTED_VALUE"""),46071)</f>
        <v>46071</v>
      </c>
      <c r="K65" s="7">
        <f ca="1">IFERROR(__xludf.DUMMYFUNCTION("""COMPUTED_VALUE"""),0)</f>
        <v>0</v>
      </c>
      <c r="L65" s="98" t="b">
        <f ca="1">IFERROR(__xludf.DUMMYFUNCTION("""COMPUTED_VALUE"""),FALSE)</f>
        <v>0</v>
      </c>
      <c r="M65" s="98" t="b">
        <f ca="1">IFERROR(__xludf.DUMMYFUNCTION("""COMPUTED_VALUE"""),FALSE)</f>
        <v>0</v>
      </c>
      <c r="N65" s="98" t="b">
        <f ca="1">IFERROR(__xludf.DUMMYFUNCTION("""COMPUTED_VALUE"""),FALSE)</f>
        <v>0</v>
      </c>
      <c r="O65" s="98" t="b">
        <f ca="1">IFERROR(__xludf.DUMMYFUNCTION("""COMPUTED_VALUE"""),FALSE)</f>
        <v>0</v>
      </c>
      <c r="P65" s="98" t="b">
        <f ca="1">IFERROR(__xludf.DUMMYFUNCTION("""COMPUTED_VALUE"""),FALSE)</f>
        <v>0</v>
      </c>
      <c r="Q65" s="98" t="b">
        <f ca="1">IFERROR(__xludf.DUMMYFUNCTION("""COMPUTED_VALUE"""),FALSE)</f>
        <v>0</v>
      </c>
      <c r="R65" s="98" t="b">
        <f ca="1">IFERROR(__xludf.DUMMYFUNCTION("""COMPUTED_VALUE"""),FALSE)</f>
        <v>0</v>
      </c>
      <c r="S65" s="98"/>
      <c r="T65" s="98"/>
      <c r="U65" s="98"/>
      <c r="V65" s="98"/>
    </row>
    <row r="66" spans="1:22" ht="16.5" customHeight="1" x14ac:dyDescent="0.2">
      <c r="A66" s="6" t="str">
        <f ca="1">IFERROR(__xludf.DUMMYFUNCTION("""COMPUTED_VALUE"""),"Wichmann")</f>
        <v>Wichmann</v>
      </c>
      <c r="B66" s="1" t="str">
        <f ca="1">IFERROR(__xludf.DUMMYFUNCTION("""COMPUTED_VALUE"""),"Wally")</f>
        <v>Wally</v>
      </c>
      <c r="C66" s="2" t="str">
        <f ca="1">IFERROR(__xludf.DUMMYFUNCTION("""COMPUTED_VALUE"""),"LSC")</f>
        <v>LSC</v>
      </c>
      <c r="D66" s="3">
        <f ca="1">IFERROR(__xludf.DUMMYFUNCTION("""COMPUTED_VALUE"""),22057)</f>
        <v>22057</v>
      </c>
      <c r="E66" s="4">
        <f ca="1">IFERROR(__xludf.DUMMYFUNCTION("""COMPUTED_VALUE"""),65)</f>
        <v>65</v>
      </c>
      <c r="F66" s="1" t="str">
        <f ca="1">IFERROR(__xludf.DUMMYFUNCTION("""COMPUTED_VALUE"""),"izotspring@mweb.co.za")</f>
        <v>izotspring@mweb.co.za</v>
      </c>
      <c r="G66" s="5">
        <f ca="1">IFERROR(__xludf.DUMMYFUNCTION("""COMPUTED_VALUE"""),834681778)</f>
        <v>834681778</v>
      </c>
      <c r="H66" s="4">
        <f ca="1">IFERROR(__xludf.DUMMYFUNCTION("""COMPUTED_VALUE"""),2700079926)</f>
        <v>2700079926</v>
      </c>
      <c r="I66" s="1" t="str">
        <f ca="1">IFERROR(__xludf.DUMMYFUNCTION("""COMPUTED_VALUE"""),"Harding CC")</f>
        <v>Harding CC</v>
      </c>
      <c r="J66" s="3">
        <f ca="1">IFERROR(__xludf.DUMMYFUNCTION("""COMPUTED_VALUE"""),45959)</f>
        <v>45959</v>
      </c>
      <c r="K66" s="7">
        <f ca="1">IFERROR(__xludf.DUMMYFUNCTION("""COMPUTED_VALUE"""),1)</f>
        <v>1</v>
      </c>
      <c r="L66" s="98" t="b">
        <f ca="1">IFERROR(__xludf.DUMMYFUNCTION("""COMPUTED_VALUE"""),FALSE)</f>
        <v>0</v>
      </c>
      <c r="M66" s="98" t="b">
        <f ca="1">IFERROR(__xludf.DUMMYFUNCTION("""COMPUTED_VALUE"""),FALSE)</f>
        <v>0</v>
      </c>
      <c r="N66" s="98" t="b">
        <f ca="1">IFERROR(__xludf.DUMMYFUNCTION("""COMPUTED_VALUE"""),FALSE)</f>
        <v>0</v>
      </c>
      <c r="O66" s="98" t="b">
        <f ca="1">IFERROR(__xludf.DUMMYFUNCTION("""COMPUTED_VALUE"""),FALSE)</f>
        <v>0</v>
      </c>
      <c r="P66" s="98" t="b">
        <f ca="1">IFERROR(__xludf.DUMMYFUNCTION("""COMPUTED_VALUE"""),FALSE)</f>
        <v>0</v>
      </c>
      <c r="Q66" s="98" t="b">
        <f ca="1">IFERROR(__xludf.DUMMYFUNCTION("""COMPUTED_VALUE"""),FALSE)</f>
        <v>0</v>
      </c>
      <c r="R66" s="98" t="b">
        <f ca="1">IFERROR(__xludf.DUMMYFUNCTION("""COMPUTED_VALUE"""),FALSE)</f>
        <v>0</v>
      </c>
      <c r="S66" s="98"/>
      <c r="T66" s="98"/>
      <c r="U66" s="98"/>
      <c r="V66" s="98"/>
    </row>
    <row r="67" spans="1:22" ht="16.5" customHeight="1" thickBot="1" x14ac:dyDescent="0.25">
      <c r="A67" s="8" t="str">
        <f ca="1">IFERROR(__xludf.DUMMYFUNCTION("""COMPUTED_VALUE"""),"Willemse")</f>
        <v>Willemse</v>
      </c>
      <c r="B67" s="9" t="str">
        <f ca="1">IFERROR(__xludf.DUMMYFUNCTION("""COMPUTED_VALUE"""),"Dolf")</f>
        <v>Dolf</v>
      </c>
      <c r="C67" s="10" t="str">
        <f ca="1">IFERROR(__xludf.DUMMYFUNCTION("""COMPUTED_VALUE"""),"LSC")</f>
        <v>LSC</v>
      </c>
      <c r="D67" s="11">
        <f ca="1">IFERROR(__xludf.DUMMYFUNCTION("""COMPUTED_VALUE"""),17145)</f>
        <v>17145</v>
      </c>
      <c r="E67" s="12">
        <f ca="1">IFERROR(__xludf.DUMMYFUNCTION("""COMPUTED_VALUE"""),79)</f>
        <v>79</v>
      </c>
      <c r="F67" s="9" t="str">
        <f ca="1">IFERROR(__xludf.DUMMYFUNCTION("""COMPUTED_VALUE"""),"willemse500@icloud.com")</f>
        <v>willemse500@icloud.com</v>
      </c>
      <c r="G67" s="13">
        <f ca="1">IFERROR(__xludf.DUMMYFUNCTION("""COMPUTED_VALUE"""),826860009)</f>
        <v>826860009</v>
      </c>
      <c r="H67" s="12">
        <f ca="1">IFERROR(__xludf.DUMMYFUNCTION("""COMPUTED_VALUE"""),2700078846)</f>
        <v>2700078846</v>
      </c>
      <c r="I67" s="9" t="str">
        <f ca="1">IFERROR(__xludf.DUMMYFUNCTION("""COMPUTED_VALUE"""),"Margate CC")</f>
        <v>Margate CC</v>
      </c>
      <c r="J67" s="11">
        <f ca="1">IFERROR(__xludf.DUMMYFUNCTION("""COMPUTED_VALUE"""),46006)</f>
        <v>46006</v>
      </c>
      <c r="K67" s="14">
        <f ca="1">IFERROR(__xludf.DUMMYFUNCTION("""COMPUTED_VALUE"""),1)</f>
        <v>1</v>
      </c>
      <c r="L67" s="98" t="b">
        <f ca="1">IFERROR(__xludf.DUMMYFUNCTION("""COMPUTED_VALUE"""),FALSE)</f>
        <v>0</v>
      </c>
      <c r="M67" s="98" t="b">
        <f ca="1">IFERROR(__xludf.DUMMYFUNCTION("""COMPUTED_VALUE"""),FALSE)</f>
        <v>0</v>
      </c>
      <c r="N67" s="98" t="b">
        <f ca="1">IFERROR(__xludf.DUMMYFUNCTION("""COMPUTED_VALUE"""),FALSE)</f>
        <v>0</v>
      </c>
      <c r="O67" s="98" t="b">
        <f ca="1">IFERROR(__xludf.DUMMYFUNCTION("""COMPUTED_VALUE"""),FALSE)</f>
        <v>0</v>
      </c>
      <c r="P67" s="98" t="b">
        <f ca="1">IFERROR(__xludf.DUMMYFUNCTION("""COMPUTED_VALUE"""),FALSE)</f>
        <v>0</v>
      </c>
      <c r="Q67" s="98" t="b">
        <f ca="1">IFERROR(__xludf.DUMMYFUNCTION("""COMPUTED_VALUE"""),FALSE)</f>
        <v>0</v>
      </c>
      <c r="R67" s="98" t="b">
        <f ca="1">IFERROR(__xludf.DUMMYFUNCTION("""COMPUTED_VALUE"""),FALSE)</f>
        <v>0</v>
      </c>
      <c r="S67" s="98"/>
      <c r="T67" s="98"/>
      <c r="U67" s="98"/>
      <c r="V67" s="98"/>
    </row>
    <row r="68" spans="1:22" ht="15.75" customHeight="1" thickTop="1" x14ac:dyDescent="0.2"/>
  </sheetData>
  <mergeCells count="2">
    <mergeCell ref="S2:V2"/>
    <mergeCell ref="A1:U1"/>
  </mergeCells>
  <conditionalFormatting sqref="A3:B67 L3:L67">
    <cfRule type="expression" dxfId="31" priority="3">
      <formula>$L3=TRUE</formula>
    </cfRule>
  </conditionalFormatting>
  <conditionalFormatting sqref="A3:B67 M3:M67">
    <cfRule type="expression" dxfId="30" priority="4">
      <formula>$M3=TRUE</formula>
    </cfRule>
  </conditionalFormatting>
  <conditionalFormatting sqref="A3:B67 N3:N67">
    <cfRule type="expression" dxfId="29" priority="5">
      <formula>$N3=TRUE</formula>
    </cfRule>
  </conditionalFormatting>
  <conditionalFormatting sqref="A3:B67 O3:O67">
    <cfRule type="expression" dxfId="28" priority="6">
      <formula>$O3=TRUE</formula>
    </cfRule>
  </conditionalFormatting>
  <conditionalFormatting sqref="A3:B67 P3:P67">
    <cfRule type="expression" dxfId="27" priority="7">
      <formula>$P3=TRUE</formula>
    </cfRule>
  </conditionalFormatting>
  <conditionalFormatting sqref="A3:K67">
    <cfRule type="cellIs" dxfId="26" priority="1" operator="equal">
      <formula>"-"</formula>
    </cfRule>
    <cfRule type="containsBlanks" dxfId="25" priority="2">
      <formula>LEN(TRIM(A3))=0</formula>
    </cfRule>
    <cfRule type="cellIs" dxfId="24" priority="9" operator="equal">
      <formula>"-"</formula>
    </cfRule>
    <cfRule type="containsBlanks" dxfId="23" priority="11">
      <formula>LEN(TRIM(A3))=0</formula>
    </cfRule>
  </conditionalFormatting>
  <conditionalFormatting sqref="C3:C67">
    <cfRule type="expression" dxfId="22" priority="12">
      <formula>$Q3=TRUE</formula>
    </cfRule>
  </conditionalFormatting>
  <conditionalFormatting sqref="K3:N67 E3:E67">
    <cfRule type="cellIs" dxfId="21" priority="8" operator="between">
      <formula>80</formula>
      <formula>110</formula>
    </cfRule>
    <cfRule type="cellIs" dxfId="20" priority="10" operator="greaterThan">
      <formula>110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/>
  <headerFooter>
    <oddHeader>&amp;L&amp;A&amp;CSAGES Membership List&amp;R&amp;D</oddHeader>
    <oddFooter>&amp;R&amp;P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LOWER SOUTH COAST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Mantle</dc:creator>
  <cp:lastModifiedBy>Eddie Mantle</cp:lastModifiedBy>
  <dcterms:created xsi:type="dcterms:W3CDTF">2026-02-28T17:35:54Z</dcterms:created>
  <dcterms:modified xsi:type="dcterms:W3CDTF">2026-03-01T10:04:35Z</dcterms:modified>
</cp:coreProperties>
</file>