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die\Desktop\Sages National\Website\Website Library\Website info Newsletters ,Minutes &amp; Branch list\Branch list\LSC\2026\"/>
    </mc:Choice>
  </mc:AlternateContent>
  <xr:revisionPtr revIDLastSave="0" documentId="13_ncr:1_{45D622D6-1206-43DF-BD4F-5BC9C3EB56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R SOUTH COAST" sheetId="1" r:id="rId1"/>
  </sheets>
  <calcPr calcId="191029"/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U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U18" i="1"/>
  <c r="U21" i="1" s="1"/>
  <c r="Q18" i="1"/>
  <c r="P18" i="1"/>
  <c r="O18" i="1"/>
  <c r="N18" i="1"/>
  <c r="M18" i="1"/>
  <c r="L18" i="1"/>
  <c r="K18" i="1"/>
  <c r="J18" i="1"/>
  <c r="I18" i="1"/>
  <c r="G18" i="1"/>
  <c r="F18" i="1"/>
  <c r="E18" i="1"/>
  <c r="D18" i="1"/>
  <c r="C18" i="1"/>
  <c r="B18" i="1"/>
  <c r="A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U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R2" i="1"/>
  <c r="R14" i="1" s="1"/>
  <c r="S7" i="1" l="1"/>
  <c r="T10" i="1"/>
  <c r="T8" i="1"/>
  <c r="T13" i="1"/>
  <c r="T12" i="1"/>
  <c r="T5" i="1"/>
  <c r="S13" i="1"/>
  <c r="U13" i="1" s="1"/>
  <c r="T6" i="1"/>
  <c r="S10" i="1"/>
  <c r="T7" i="1"/>
  <c r="S5" i="1"/>
  <c r="T11" i="1"/>
  <c r="S12" i="1"/>
  <c r="S4" i="1"/>
  <c r="S6" i="1"/>
  <c r="S8" i="1"/>
  <c r="T4" i="1"/>
  <c r="S11" i="1"/>
  <c r="U8" i="1" l="1"/>
  <c r="U6" i="1"/>
  <c r="U7" i="1"/>
  <c r="U10" i="1"/>
  <c r="U11" i="1"/>
  <c r="U5" i="1"/>
  <c r="U12" i="1"/>
  <c r="U4" i="1"/>
  <c r="T15" i="1"/>
  <c r="S15" i="1"/>
  <c r="U15" i="1" l="1"/>
</calcChain>
</file>

<file path=xl/sharedStrings.xml><?xml version="1.0" encoding="utf-8"?>
<sst xmlns="http://schemas.openxmlformats.org/spreadsheetml/2006/main" count="40" uniqueCount="39">
  <si>
    <t>SURNAME</t>
  </si>
  <si>
    <t>NAME</t>
  </si>
  <si>
    <t>BRANCH</t>
  </si>
  <si>
    <t>DOB</t>
  </si>
  <si>
    <t>AGE</t>
  </si>
  <si>
    <t>ADDRESS</t>
  </si>
  <si>
    <t>CELL NO</t>
  </si>
  <si>
    <t>HNA</t>
  </si>
  <si>
    <t>HOME CLUB</t>
  </si>
  <si>
    <t>JOINED</t>
  </si>
  <si>
    <t>YRS</t>
  </si>
  <si>
    <t>HM</t>
  </si>
  <si>
    <t>HL</t>
  </si>
  <si>
    <t>HB</t>
  </si>
  <si>
    <t>AS</t>
  </si>
  <si>
    <t>FM</t>
  </si>
  <si>
    <t>PAY</t>
  </si>
  <si>
    <t>INFORMATION</t>
  </si>
  <si>
    <t>Male</t>
  </si>
  <si>
    <t>Female</t>
  </si>
  <si>
    <t>Totals</t>
  </si>
  <si>
    <t>Over 80</t>
  </si>
  <si>
    <t>Honorary Member</t>
  </si>
  <si>
    <t>Honorary Life</t>
  </si>
  <si>
    <t>Associated Members</t>
  </si>
  <si>
    <t>Branch Honorary</t>
  </si>
  <si>
    <t>Outstanding Info</t>
  </si>
  <si>
    <t>Members</t>
  </si>
  <si>
    <t>No. Paying Members</t>
  </si>
  <si>
    <t>Members that have paid</t>
  </si>
  <si>
    <t>Outstanding Payments</t>
  </si>
  <si>
    <t>New Registrations Not Paid</t>
  </si>
  <si>
    <t>FINANCIAL INFORMATION</t>
  </si>
  <si>
    <t>No.</t>
  </si>
  <si>
    <t>AMOUNT</t>
  </si>
  <si>
    <t>Membership Payments</t>
  </si>
  <si>
    <t>New Registrations</t>
  </si>
  <si>
    <t>Total Subs Due</t>
  </si>
  <si>
    <t>Lower South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</si>
</sst>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&quot;-&quot;mm&quot;-&quot;yyyy"/>
    <numFmt numFmtId="165" formatCode="000\-000\-0000"/>
    <numFmt numFmtId="166" formatCode="[$R]#,##0.00"/>
  </numFmts>
  <fonts count="15" x14ac:knownFonts="1">
    <font>
      <sz val="10"/>
      <color rgb="FF000000"/>
      <name val="Arial"/>
      <scheme val="minor"/>
    </font>
    <font>
      <sz val="9"/>
      <color theme="1"/>
      <name val="Arial"/>
    </font>
    <font>
      <sz val="9"/>
      <color theme="1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theme="1"/>
      <name val="Arial"/>
    </font>
    <font>
      <sz val="11"/>
      <color theme="1"/>
      <name val="Inconsolata"/>
    </font>
    <font>
      <sz val="10"/>
      <name val="Arial"/>
    </font>
    <font>
      <b/>
      <sz val="11"/>
      <color theme="1"/>
      <name val="Arial"/>
    </font>
    <font>
      <b/>
      <sz val="9"/>
      <color theme="1"/>
      <name val="Arial"/>
    </font>
    <font>
      <sz val="28"/>
      <color rgb="FF000000"/>
      <name val="Arial Black"/>
      <family val="2"/>
    </font>
    <font>
      <b/>
      <sz val="9"/>
      <color rgb="FFFFFFFF"/>
      <name val="Arial Black"/>
      <family val="2"/>
    </font>
    <font>
      <sz val="9"/>
      <color rgb="FFFFFFFF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2B2E1"/>
        <bgColor rgb="FFF2B2E1"/>
      </patternFill>
    </fill>
    <fill>
      <patternFill patternType="solid">
        <fgColor rgb="FF0070C0"/>
        <bgColor rgb="FF0070C0"/>
      </patternFill>
    </fill>
    <fill>
      <patternFill patternType="solid">
        <fgColor rgb="FF990000"/>
        <bgColor rgb="FF990000"/>
      </patternFill>
    </fill>
    <fill>
      <patternFill patternType="solid">
        <fgColor rgb="FF15CE00"/>
        <bgColor rgb="FF15CE00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CCCCCC"/>
        <bgColor rgb="FFCCCC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ck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66" fontId="3" fillId="12" borderId="10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right" vertical="center" wrapText="1"/>
    </xf>
    <xf numFmtId="166" fontId="3" fillId="12" borderId="1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horizontal="right" vertical="center" wrapText="1"/>
    </xf>
    <xf numFmtId="166" fontId="1" fillId="0" borderId="1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166" fontId="7" fillId="0" borderId="14" xfId="0" applyNumberFormat="1" applyFont="1" applyBorder="1" applyAlignment="1">
      <alignment vertical="center"/>
    </xf>
    <xf numFmtId="166" fontId="7" fillId="10" borderId="14" xfId="0" applyNumberFormat="1" applyFont="1" applyFill="1" applyBorder="1" applyAlignment="1">
      <alignment vertical="center"/>
    </xf>
    <xf numFmtId="166" fontId="11" fillId="10" borderId="1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4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color rgb="FFE69138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2B2E1"/>
          <bgColor rgb="FFF2B2E1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15CE00"/>
          <bgColor rgb="FF15CE00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LOWER SOUTH COAST-style" pivot="0" count="2" xr9:uid="{00000000-0011-0000-FFFF-FFFF00000000}">
      <tableStyleElement type="firstRowStripe" dxfId="33"/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Q29" headerRowCount="0" headerRowDxfId="2" dataDxfId="0" totalsRowDxfId="1">
  <tableColumns count="17">
    <tableColumn id="1" xr3:uid="{00000000-0010-0000-0000-000001000000}" name="Column1" dataDxfId="19"/>
    <tableColumn id="2" xr3:uid="{00000000-0010-0000-0000-000002000000}" name="Column2" dataDxfId="18"/>
    <tableColumn id="3" xr3:uid="{00000000-0010-0000-0000-000003000000}" name="Column3" dataDxfId="17"/>
    <tableColumn id="4" xr3:uid="{00000000-0010-0000-0000-000004000000}" name="Column4" dataDxfId="16"/>
    <tableColumn id="5" xr3:uid="{00000000-0010-0000-0000-000005000000}" name="Column5" dataDxfId="15"/>
    <tableColumn id="6" xr3:uid="{00000000-0010-0000-0000-000006000000}" name="Column6" dataDxfId="14"/>
    <tableColumn id="7" xr3:uid="{00000000-0010-0000-0000-000007000000}" name="Column7" dataDxfId="13"/>
    <tableColumn id="8" xr3:uid="{00000000-0010-0000-0000-000008000000}" name="Column8" dataDxfId="12"/>
    <tableColumn id="9" xr3:uid="{00000000-0010-0000-0000-000009000000}" name="Column9" dataDxfId="11"/>
    <tableColumn id="10" xr3:uid="{00000000-0010-0000-0000-00000A000000}" name="Column10" dataDxfId="10"/>
    <tableColumn id="11" xr3:uid="{00000000-0010-0000-0000-00000B000000}" name="Column11" dataDxfId="9"/>
    <tableColumn id="12" xr3:uid="{00000000-0010-0000-0000-00000C000000}" name="Column12" dataDxfId="8"/>
    <tableColumn id="13" xr3:uid="{00000000-0010-0000-0000-00000D000000}" name="Column13" dataDxfId="7"/>
    <tableColumn id="14" xr3:uid="{00000000-0010-0000-0000-00000E000000}" name="Column14" dataDxfId="6"/>
    <tableColumn id="15" xr3:uid="{00000000-0010-0000-0000-00000F000000}" name="Column15" dataDxfId="5"/>
    <tableColumn id="16" xr3:uid="{00000000-0010-0000-0000-000010000000}" name="Column16" dataDxfId="4"/>
    <tableColumn id="17" xr3:uid="{00000000-0010-0000-0000-000011000000}" name="Column17" dataDxfId="3"/>
  </tableColumns>
  <tableStyleInfo name="LOWER SOUTH COA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29"/>
  <sheetViews>
    <sheetView tabSelected="1" workbookViewId="0">
      <pane ySplit="2" topLeftCell="A3" activePane="bottomLeft" state="frozen"/>
      <selection pane="bottomLeft" sqref="A1:XFD1048576"/>
    </sheetView>
  </sheetViews>
  <sheetFormatPr defaultColWidth="12.5703125" defaultRowHeight="15.75" customHeight="1" x14ac:dyDescent="0.2"/>
  <cols>
    <col min="1" max="2" width="12.5703125" style="10" customWidth="1"/>
    <col min="3" max="3" width="7.5703125" style="10" customWidth="1"/>
    <col min="4" max="4" width="10.7109375" style="10" customWidth="1"/>
    <col min="5" max="5" width="4.28515625" style="10" customWidth="1"/>
    <col min="6" max="6" width="27.5703125" style="10" customWidth="1"/>
    <col min="7" max="7" width="12.140625" style="10" bestFit="1" customWidth="1"/>
    <col min="8" max="8" width="11.42578125" style="10" customWidth="1"/>
    <col min="9" max="9" width="19.85546875" style="10" customWidth="1"/>
    <col min="10" max="10" width="10.140625" style="10" customWidth="1"/>
    <col min="11" max="11" width="4.42578125" style="10" customWidth="1"/>
    <col min="12" max="17" width="4.85546875" style="10" hidden="1" customWidth="1"/>
    <col min="18" max="18" width="24.42578125" style="10" customWidth="1"/>
    <col min="19" max="19" width="7.7109375" style="10" customWidth="1"/>
    <col min="20" max="20" width="11.140625" style="10" customWidth="1"/>
    <col min="21" max="21" width="7.5703125" style="10" customWidth="1"/>
    <col min="22" max="16384" width="12.5703125" style="10"/>
  </cols>
  <sheetData>
    <row r="1" spans="1:21" ht="39" customHeight="1" thickTop="1" thickBot="1" x14ac:dyDescent="0.25">
      <c r="A1" s="7" t="s">
        <v>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pans="1:21" ht="17.100000000000001" customHeight="1" thickTop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2" t="s">
        <v>5</v>
      </c>
      <c r="G2" s="12" t="s">
        <v>6</v>
      </c>
      <c r="H2" s="13" t="s">
        <v>7</v>
      </c>
      <c r="I2" s="12" t="s">
        <v>8</v>
      </c>
      <c r="J2" s="12" t="s">
        <v>9</v>
      </c>
      <c r="K2" s="12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5">
        <f ca="1">TODAY()</f>
        <v>46023</v>
      </c>
      <c r="S2" s="16"/>
      <c r="T2" s="16"/>
      <c r="U2" s="17"/>
    </row>
    <row r="3" spans="1:21" ht="17.100000000000001" customHeight="1" thickTop="1" x14ac:dyDescent="0.2">
      <c r="A3" s="1" t="str">
        <f ca="1">IFERROR(__xludf.DUMMYFUNCTION("QUERY(IMPORTRANGE(""1s2846PiD-LoyoBfLNsFuq7yw0hC7cgOYRj5xs7gtmso"", ""MasterSheet!A2:Q""), ""select * where Col3 = 'LSC'"",0)"),"Basday")</f>
        <v>Basday</v>
      </c>
      <c r="B3" s="1" t="str">
        <f ca="1">IFERROR(__xludf.DUMMYFUNCTION("""COMPUTED_VALUE"""),"Dick")</f>
        <v>Dick</v>
      </c>
      <c r="C3" s="2" t="str">
        <f ca="1">IFERROR(__xludf.DUMMYFUNCTION("""COMPUTED_VALUE"""),"LSC")</f>
        <v>LSC</v>
      </c>
      <c r="D3" s="3">
        <f ca="1">IFERROR(__xludf.DUMMYFUNCTION("""COMPUTED_VALUE"""),18771)</f>
        <v>18771</v>
      </c>
      <c r="E3" s="4">
        <f ca="1">IFERROR(__xludf.DUMMYFUNCTION("""COMPUTED_VALUE"""),74)</f>
        <v>74</v>
      </c>
      <c r="F3" s="1" t="str">
        <f ca="1">IFERROR(__xludf.DUMMYFUNCTION("""COMPUTED_VALUE"""),"dick@capital.co.za")</f>
        <v>dick@capital.co.za</v>
      </c>
      <c r="G3" s="5">
        <f ca="1">IFERROR(__xludf.DUMMYFUNCTION("""COMPUTED_VALUE"""),729025418)</f>
        <v>729025418</v>
      </c>
      <c r="H3" s="6">
        <f ca="1">IFERROR(__xludf.DUMMYFUNCTION("""COMPUTED_VALUE"""),2700382742)</f>
        <v>2700382742</v>
      </c>
      <c r="I3" s="1" t="str">
        <f ca="1">IFERROR(__xludf.DUMMYFUNCTION("""COMPUTED_VALUE"""),"Port Shepstone CC")</f>
        <v>Port Shepstone CC</v>
      </c>
      <c r="J3" s="3">
        <f ca="1">IFERROR(__xludf.DUMMYFUNCTION("""COMPUTED_VALUE"""),45958)</f>
        <v>45958</v>
      </c>
      <c r="K3" s="2">
        <f ca="1">IFERROR(__xludf.DUMMYFUNCTION("""COMPUTED_VALUE"""),1)</f>
        <v>1</v>
      </c>
      <c r="L3" s="18" t="b">
        <f ca="1">IFERROR(__xludf.DUMMYFUNCTION("""COMPUTED_VALUE"""),FALSE)</f>
        <v>0</v>
      </c>
      <c r="M3" s="18" t="b">
        <f ca="1">IFERROR(__xludf.DUMMYFUNCTION("""COMPUTED_VALUE"""),FALSE)</f>
        <v>0</v>
      </c>
      <c r="N3" s="18" t="b">
        <f ca="1">IFERROR(__xludf.DUMMYFUNCTION("""COMPUTED_VALUE"""),FALSE)</f>
        <v>0</v>
      </c>
      <c r="O3" s="18" t="b">
        <f ca="1">IFERROR(__xludf.DUMMYFUNCTION("""COMPUTED_VALUE"""),FALSE)</f>
        <v>0</v>
      </c>
      <c r="P3" s="18" t="b">
        <f ca="1">IFERROR(__xludf.DUMMYFUNCTION("""COMPUTED_VALUE"""),FALSE)</f>
        <v>0</v>
      </c>
      <c r="Q3" s="18" t="b">
        <f ca="1">IFERROR(__xludf.DUMMYFUNCTION("""COMPUTED_VALUE"""),FALSE)</f>
        <v>0</v>
      </c>
      <c r="R3" s="19" t="s">
        <v>17</v>
      </c>
      <c r="S3" s="20" t="s">
        <v>18</v>
      </c>
      <c r="T3" s="21" t="s">
        <v>19</v>
      </c>
      <c r="U3" s="22" t="s">
        <v>20</v>
      </c>
    </row>
    <row r="4" spans="1:21" ht="17.100000000000001" customHeight="1" x14ac:dyDescent="0.2">
      <c r="A4" s="1" t="str">
        <f ca="1">IFERROR(__xludf.DUMMYFUNCTION("""COMPUTED_VALUE"""),"Boonzaier")</f>
        <v>Boonzaier</v>
      </c>
      <c r="B4" s="1" t="str">
        <f ca="1">IFERROR(__xludf.DUMMYFUNCTION("""COMPUTED_VALUE"""),"Conrad")</f>
        <v>Conrad</v>
      </c>
      <c r="C4" s="2" t="str">
        <f ca="1">IFERROR(__xludf.DUMMYFUNCTION("""COMPUTED_VALUE"""),"LSC")</f>
        <v>LSC</v>
      </c>
      <c r="D4" s="3">
        <f ca="1">IFERROR(__xludf.DUMMYFUNCTION("""COMPUTED_VALUE"""),23430)</f>
        <v>23430</v>
      </c>
      <c r="E4" s="4">
        <f ca="1">IFERROR(__xludf.DUMMYFUNCTION("""COMPUTED_VALUE"""),61)</f>
        <v>61</v>
      </c>
      <c r="F4" s="1" t="str">
        <f ca="1">IFERROR(__xludf.DUMMYFUNCTION("""COMPUTED_VALUE"""),"boonzaierc@gmail.com")</f>
        <v>boonzaierc@gmail.com</v>
      </c>
      <c r="G4" s="5">
        <f ca="1">IFERROR(__xludf.DUMMYFUNCTION("""COMPUTED_VALUE"""),825793455)</f>
        <v>825793455</v>
      </c>
      <c r="H4" s="6">
        <f ca="1">IFERROR(__xludf.DUMMYFUNCTION("""COMPUTED_VALUE"""),2700281413)</f>
        <v>2700281413</v>
      </c>
      <c r="I4" s="1" t="str">
        <f ca="1">IFERROR(__xludf.DUMMYFUNCTION("""COMPUTED_VALUE"""),"Margate CC")</f>
        <v>Margate CC</v>
      </c>
      <c r="J4" s="3">
        <f ca="1">IFERROR(__xludf.DUMMYFUNCTION("""COMPUTED_VALUE"""),45945)</f>
        <v>45945</v>
      </c>
      <c r="K4" s="2">
        <f ca="1">IFERROR(__xludf.DUMMYFUNCTION("""COMPUTED_VALUE"""),1)</f>
        <v>1</v>
      </c>
      <c r="L4" s="18" t="b">
        <f ca="1">IFERROR(__xludf.DUMMYFUNCTION("""COMPUTED_VALUE"""),FALSE)</f>
        <v>0</v>
      </c>
      <c r="M4" s="18" t="b">
        <f ca="1">IFERROR(__xludf.DUMMYFUNCTION("""COMPUTED_VALUE"""),FALSE)</f>
        <v>0</v>
      </c>
      <c r="N4" s="18" t="b">
        <f ca="1">IFERROR(__xludf.DUMMYFUNCTION("""COMPUTED_VALUE"""),FALSE)</f>
        <v>0</v>
      </c>
      <c r="O4" s="18" t="b">
        <f ca="1">IFERROR(__xludf.DUMMYFUNCTION("""COMPUTED_VALUE"""),FALSE)</f>
        <v>0</v>
      </c>
      <c r="P4" s="18" t="b">
        <f ca="1">IFERROR(__xludf.DUMMYFUNCTION("""COMPUTED_VALUE"""),FALSE)</f>
        <v>0</v>
      </c>
      <c r="Q4" s="18" t="b">
        <f ca="1">IFERROR(__xludf.DUMMYFUNCTION("""COMPUTED_VALUE"""),FALSE)</f>
        <v>0</v>
      </c>
      <c r="R4" s="23" t="s">
        <v>21</v>
      </c>
      <c r="S4" s="24">
        <f ca="1">COUNTIFS($E$3:$E29, "&gt;=80",$L$3:$L29,"False",$M$3:$M29,"False", $P$3:$P29, "False")</f>
        <v>0</v>
      </c>
      <c r="T4" s="24">
        <f ca="1">COUNTIFS($E$3:$E29, "&gt;=80",$L$3:$L29,"False",$M$3:$M29,"False", $P$3:$P29, "True")</f>
        <v>0</v>
      </c>
      <c r="U4" s="25">
        <f t="shared" ref="U4:U8" ca="1" si="0">S4+T4</f>
        <v>0</v>
      </c>
    </row>
    <row r="5" spans="1:21" ht="17.100000000000001" customHeight="1" x14ac:dyDescent="0.2">
      <c r="A5" s="1" t="str">
        <f ca="1">IFERROR(__xludf.DUMMYFUNCTION("""COMPUTED_VALUE"""),"Deley")</f>
        <v>Deley</v>
      </c>
      <c r="B5" s="1" t="str">
        <f ca="1">IFERROR(__xludf.DUMMYFUNCTION("""COMPUTED_VALUE"""),"Kevin")</f>
        <v>Kevin</v>
      </c>
      <c r="C5" s="2" t="str">
        <f ca="1">IFERROR(__xludf.DUMMYFUNCTION("""COMPUTED_VALUE"""),"LSC")</f>
        <v>LSC</v>
      </c>
      <c r="D5" s="3">
        <f ca="1">IFERROR(__xludf.DUMMYFUNCTION("""COMPUTED_VALUE"""),17634)</f>
        <v>17634</v>
      </c>
      <c r="E5" s="4">
        <f ca="1">IFERROR(__xludf.DUMMYFUNCTION("""COMPUTED_VALUE"""),77)</f>
        <v>77</v>
      </c>
      <c r="F5" s="1" t="str">
        <f ca="1">IFERROR(__xludf.DUMMYFUNCTION("""COMPUTED_VALUE"""),"kevindeley@gmail.com")</f>
        <v>kevindeley@gmail.com</v>
      </c>
      <c r="G5" s="5">
        <f ca="1">IFERROR(__xludf.DUMMYFUNCTION("""COMPUTED_VALUE"""),825475883)</f>
        <v>825475883</v>
      </c>
      <c r="H5" s="6">
        <f ca="1">IFERROR(__xludf.DUMMYFUNCTION("""COMPUTED_VALUE"""),2700064983)</f>
        <v>2700064983</v>
      </c>
      <c r="I5" s="1" t="str">
        <f ca="1">IFERROR(__xludf.DUMMYFUNCTION("""COMPUTED_VALUE"""),"Margate")</f>
        <v>Margate</v>
      </c>
      <c r="J5" s="3">
        <f ca="1">IFERROR(__xludf.DUMMYFUNCTION("""COMPUTED_VALUE"""),45679)</f>
        <v>45679</v>
      </c>
      <c r="K5" s="2">
        <f ca="1">IFERROR(__xludf.DUMMYFUNCTION("""COMPUTED_VALUE"""),1)</f>
        <v>1</v>
      </c>
      <c r="L5" s="18" t="b">
        <f ca="1">IFERROR(__xludf.DUMMYFUNCTION("""COMPUTED_VALUE"""),FALSE)</f>
        <v>0</v>
      </c>
      <c r="M5" s="18" t="b">
        <f ca="1">IFERROR(__xludf.DUMMYFUNCTION("""COMPUTED_VALUE"""),FALSE)</f>
        <v>0</v>
      </c>
      <c r="N5" s="18" t="b">
        <f ca="1">IFERROR(__xludf.DUMMYFUNCTION("""COMPUTED_VALUE"""),FALSE)</f>
        <v>0</v>
      </c>
      <c r="O5" s="18" t="b">
        <f ca="1">IFERROR(__xludf.DUMMYFUNCTION("""COMPUTED_VALUE"""),FALSE)</f>
        <v>0</v>
      </c>
      <c r="P5" s="18" t="b">
        <f ca="1">IFERROR(__xludf.DUMMYFUNCTION("""COMPUTED_VALUE"""),FALSE)</f>
        <v>0</v>
      </c>
      <c r="Q5" s="18" t="b">
        <f ca="1">IFERROR(__xludf.DUMMYFUNCTION("""COMPUTED_VALUE"""),FALSE)</f>
        <v>0</v>
      </c>
      <c r="R5" s="26" t="s">
        <v>22</v>
      </c>
      <c r="S5" s="24">
        <f ca="1">COUNTIFS($L$3:$L29, "True", $P$3:$P29, "False")</f>
        <v>0</v>
      </c>
      <c r="T5" s="24">
        <f ca="1">COUNTIFS($L$2:$L29, "True", $P$2:$P29, "True")</f>
        <v>0</v>
      </c>
      <c r="U5" s="25">
        <f t="shared" ca="1" si="0"/>
        <v>0</v>
      </c>
    </row>
    <row r="6" spans="1:21" ht="17.100000000000001" customHeight="1" x14ac:dyDescent="0.2">
      <c r="A6" s="1" t="str">
        <f ca="1">IFERROR(__xludf.DUMMYFUNCTION("""COMPUTED_VALUE"""),"Deley")</f>
        <v>Deley</v>
      </c>
      <c r="B6" s="1" t="str">
        <f ca="1">IFERROR(__xludf.DUMMYFUNCTION("""COMPUTED_VALUE"""),"Veni")</f>
        <v>Veni</v>
      </c>
      <c r="C6" s="2" t="str">
        <f ca="1">IFERROR(__xludf.DUMMYFUNCTION("""COMPUTED_VALUE"""),"LSC")</f>
        <v>LSC</v>
      </c>
      <c r="D6" s="3">
        <f ca="1">IFERROR(__xludf.DUMMYFUNCTION("""COMPUTED_VALUE"""),22643)</f>
        <v>22643</v>
      </c>
      <c r="E6" s="4">
        <f ca="1">IFERROR(__xludf.DUMMYFUNCTION("""COMPUTED_VALUE"""),64)</f>
        <v>64</v>
      </c>
      <c r="F6" s="1" t="str">
        <f ca="1">IFERROR(__xludf.DUMMYFUNCTION("""COMPUTED_VALUE"""),"venideley@gmail.com")</f>
        <v>venideley@gmail.com</v>
      </c>
      <c r="G6" s="5">
        <f ca="1">IFERROR(__xludf.DUMMYFUNCTION("""COMPUTED_VALUE"""),829288489)</f>
        <v>829288489</v>
      </c>
      <c r="H6" s="6">
        <f ca="1">IFERROR(__xludf.DUMMYFUNCTION("""COMPUTED_VALUE"""),2700358620)</f>
        <v>2700358620</v>
      </c>
      <c r="I6" s="1" t="str">
        <f ca="1">IFERROR(__xludf.DUMMYFUNCTION("""COMPUTED_VALUE"""),"Margate")</f>
        <v>Margate</v>
      </c>
      <c r="J6" s="3">
        <f ca="1">IFERROR(__xludf.DUMMYFUNCTION("""COMPUTED_VALUE"""),45685)</f>
        <v>45685</v>
      </c>
      <c r="K6" s="2">
        <f ca="1">IFERROR(__xludf.DUMMYFUNCTION("""COMPUTED_VALUE"""),1)</f>
        <v>1</v>
      </c>
      <c r="L6" s="18" t="b">
        <f ca="1">IFERROR(__xludf.DUMMYFUNCTION("""COMPUTED_VALUE"""),FALSE)</f>
        <v>0</v>
      </c>
      <c r="M6" s="18" t="b">
        <f ca="1">IFERROR(__xludf.DUMMYFUNCTION("""COMPUTED_VALUE"""),FALSE)</f>
        <v>0</v>
      </c>
      <c r="N6" s="18" t="b">
        <f ca="1">IFERROR(__xludf.DUMMYFUNCTION("""COMPUTED_VALUE"""),FALSE)</f>
        <v>0</v>
      </c>
      <c r="O6" s="18" t="b">
        <f ca="1">IFERROR(__xludf.DUMMYFUNCTION("""COMPUTED_VALUE"""),FALSE)</f>
        <v>0</v>
      </c>
      <c r="P6" s="18" t="b">
        <f ca="1">IFERROR(__xludf.DUMMYFUNCTION("""COMPUTED_VALUE"""),TRUE)</f>
        <v>1</v>
      </c>
      <c r="Q6" s="18" t="b">
        <f ca="1">IFERROR(__xludf.DUMMYFUNCTION("""COMPUTED_VALUE"""),FALSE)</f>
        <v>0</v>
      </c>
      <c r="R6" s="27" t="s">
        <v>23</v>
      </c>
      <c r="S6" s="24">
        <f ca="1">COUNTIFS($M$3:$M29, "True", $P$3:$P29, "False")</f>
        <v>0</v>
      </c>
      <c r="T6" s="24">
        <f ca="1">COUNTIFS($M$2:$M29, "True", $P$2:$P29, "True")</f>
        <v>0</v>
      </c>
      <c r="U6" s="25">
        <f t="shared" ca="1" si="0"/>
        <v>0</v>
      </c>
    </row>
    <row r="7" spans="1:21" ht="17.100000000000001" customHeight="1" x14ac:dyDescent="0.2">
      <c r="A7" s="1" t="str">
        <f ca="1">IFERROR(__xludf.DUMMYFUNCTION("""COMPUTED_VALUE"""),"Fick")</f>
        <v>Fick</v>
      </c>
      <c r="B7" s="1" t="str">
        <f ca="1">IFERROR(__xludf.DUMMYFUNCTION("""COMPUTED_VALUE"""),"Kobus")</f>
        <v>Kobus</v>
      </c>
      <c r="C7" s="2" t="str">
        <f ca="1">IFERROR(__xludf.DUMMYFUNCTION("""COMPUTED_VALUE"""),"LSC")</f>
        <v>LSC</v>
      </c>
      <c r="D7" s="3">
        <f ca="1">IFERROR(__xludf.DUMMYFUNCTION("""COMPUTED_VALUE"""),23489)</f>
        <v>23489</v>
      </c>
      <c r="E7" s="4">
        <f ca="1">IFERROR(__xludf.DUMMYFUNCTION("""COMPUTED_VALUE"""),61)</f>
        <v>61</v>
      </c>
      <c r="F7" s="1" t="str">
        <f ca="1">IFERROR(__xludf.DUMMYFUNCTION("""COMPUTED_VALUE"""),"fickjj@live.co.za")</f>
        <v>fickjj@live.co.za</v>
      </c>
      <c r="G7" s="5">
        <f ca="1">IFERROR(__xludf.DUMMYFUNCTION("""COMPUTED_VALUE"""),828214850)</f>
        <v>828214850</v>
      </c>
      <c r="H7" s="6">
        <f ca="1">IFERROR(__xludf.DUMMYFUNCTION("""COMPUTED_VALUE"""),2700294865)</f>
        <v>2700294865</v>
      </c>
      <c r="I7" s="1" t="str">
        <f ca="1">IFERROR(__xludf.DUMMYFUNCTION("""COMPUTED_VALUE"""),"Margate CC")</f>
        <v>Margate CC</v>
      </c>
      <c r="J7" s="3">
        <f ca="1">IFERROR(__xludf.DUMMYFUNCTION("""COMPUTED_VALUE"""),45967)</f>
        <v>45967</v>
      </c>
      <c r="K7" s="2">
        <f ca="1">IFERROR(__xludf.DUMMYFUNCTION("""COMPUTED_VALUE"""),1)</f>
        <v>1</v>
      </c>
      <c r="L7" s="18" t="b">
        <f ca="1">IFERROR(__xludf.DUMMYFUNCTION("""COMPUTED_VALUE"""),FALSE)</f>
        <v>0</v>
      </c>
      <c r="M7" s="18" t="b">
        <f ca="1">IFERROR(__xludf.DUMMYFUNCTION("""COMPUTED_VALUE"""),FALSE)</f>
        <v>0</v>
      </c>
      <c r="N7" s="18" t="b">
        <f ca="1">IFERROR(__xludf.DUMMYFUNCTION("""COMPUTED_VALUE"""),FALSE)</f>
        <v>0</v>
      </c>
      <c r="O7" s="18" t="b">
        <f ca="1">IFERROR(__xludf.DUMMYFUNCTION("""COMPUTED_VALUE"""),FALSE)</f>
        <v>0</v>
      </c>
      <c r="P7" s="18" t="b">
        <f ca="1">IFERROR(__xludf.DUMMYFUNCTION("""COMPUTED_VALUE"""),FALSE)</f>
        <v>0</v>
      </c>
      <c r="Q7" s="18" t="b">
        <f ca="1">IFERROR(__xludf.DUMMYFUNCTION("""COMPUTED_VALUE"""),FALSE)</f>
        <v>0</v>
      </c>
      <c r="R7" s="28" t="s">
        <v>24</v>
      </c>
      <c r="S7" s="24">
        <f ca="1">COUNTIFS($O$3:$O29, "True", $P$3:$P29, "False")</f>
        <v>0</v>
      </c>
      <c r="T7" s="24">
        <f ca="1">COUNTIFS($O$2:$O29, "True", $P$2:$P29, "True")</f>
        <v>0</v>
      </c>
      <c r="U7" s="25">
        <f t="shared" ca="1" si="0"/>
        <v>0</v>
      </c>
    </row>
    <row r="8" spans="1:21" ht="17.100000000000001" customHeight="1" x14ac:dyDescent="0.2">
      <c r="A8" s="1" t="str">
        <f ca="1">IFERROR(__xludf.DUMMYFUNCTION("""COMPUTED_VALUE"""),"Fick")</f>
        <v>Fick</v>
      </c>
      <c r="B8" s="1" t="str">
        <f ca="1">IFERROR(__xludf.DUMMYFUNCTION("""COMPUTED_VALUE"""),"Marianne")</f>
        <v>Marianne</v>
      </c>
      <c r="C8" s="2" t="str">
        <f ca="1">IFERROR(__xludf.DUMMYFUNCTION("""COMPUTED_VALUE"""),"LSC")</f>
        <v>LSC</v>
      </c>
      <c r="D8" s="3">
        <f ca="1">IFERROR(__xludf.DUMMYFUNCTION("""COMPUTED_VALUE"""),23777)</f>
        <v>23777</v>
      </c>
      <c r="E8" s="4">
        <f ca="1">IFERROR(__xludf.DUMMYFUNCTION("""COMPUTED_VALUE"""),60)</f>
        <v>60</v>
      </c>
      <c r="F8" s="1" t="str">
        <f ca="1">IFERROR(__xludf.DUMMYFUNCTION("""COMPUTED_VALUE"""),"mfick@live.co.za")</f>
        <v>mfick@live.co.za</v>
      </c>
      <c r="G8" s="5">
        <f ca="1">IFERROR(__xludf.DUMMYFUNCTION("""COMPUTED_VALUE"""),823762206)</f>
        <v>823762206</v>
      </c>
      <c r="H8" s="6">
        <f ca="1">IFERROR(__xludf.DUMMYFUNCTION("""COMPUTED_VALUE"""),2700465166)</f>
        <v>2700465166</v>
      </c>
      <c r="I8" s="1" t="str">
        <f ca="1">IFERROR(__xludf.DUMMYFUNCTION("""COMPUTED_VALUE"""),"Margate CC")</f>
        <v>Margate CC</v>
      </c>
      <c r="J8" s="3">
        <f ca="1">IFERROR(__xludf.DUMMYFUNCTION("""COMPUTED_VALUE"""),45967)</f>
        <v>45967</v>
      </c>
      <c r="K8" s="2">
        <f ca="1">IFERROR(__xludf.DUMMYFUNCTION("""COMPUTED_VALUE"""),1)</f>
        <v>1</v>
      </c>
      <c r="L8" s="18" t="b">
        <f ca="1">IFERROR(__xludf.DUMMYFUNCTION("""COMPUTED_VALUE"""),FALSE)</f>
        <v>0</v>
      </c>
      <c r="M8" s="18" t="b">
        <f ca="1">IFERROR(__xludf.DUMMYFUNCTION("""COMPUTED_VALUE"""),FALSE)</f>
        <v>0</v>
      </c>
      <c r="N8" s="18" t="b">
        <f ca="1">IFERROR(__xludf.DUMMYFUNCTION("""COMPUTED_VALUE"""),FALSE)</f>
        <v>0</v>
      </c>
      <c r="O8" s="18" t="b">
        <f ca="1">IFERROR(__xludf.DUMMYFUNCTION("""COMPUTED_VALUE"""),FALSE)</f>
        <v>0</v>
      </c>
      <c r="P8" s="18" t="b">
        <f ca="1">IFERROR(__xludf.DUMMYFUNCTION("""COMPUTED_VALUE"""),TRUE)</f>
        <v>1</v>
      </c>
      <c r="Q8" s="18" t="b">
        <f ca="1">IFERROR(__xludf.DUMMYFUNCTION("""COMPUTED_VALUE"""),FALSE)</f>
        <v>0</v>
      </c>
      <c r="R8" s="29" t="s">
        <v>25</v>
      </c>
      <c r="S8" s="24">
        <f ca="1">COUNTIFS($N$3:$N29, "True", $P$3:$P29, "False")</f>
        <v>0</v>
      </c>
      <c r="T8" s="24">
        <f ca="1">COUNTIFS($N$2:$N29, "True", $P$2:$P29, "True")</f>
        <v>0</v>
      </c>
      <c r="U8" s="25">
        <f t="shared" ca="1" si="0"/>
        <v>0</v>
      </c>
    </row>
    <row r="9" spans="1:21" ht="17.100000000000001" customHeight="1" x14ac:dyDescent="0.2">
      <c r="A9" s="1" t="str">
        <f ca="1">IFERROR(__xludf.DUMMYFUNCTION("""COMPUTED_VALUE"""),"Ghingai")</f>
        <v>Ghingai</v>
      </c>
      <c r="B9" s="1" t="str">
        <f ca="1">IFERROR(__xludf.DUMMYFUNCTION("""COMPUTED_VALUE"""),"Sew")</f>
        <v>Sew</v>
      </c>
      <c r="C9" s="2" t="str">
        <f ca="1">IFERROR(__xludf.DUMMYFUNCTION("""COMPUTED_VALUE"""),"LSC")</f>
        <v>LSC</v>
      </c>
      <c r="D9" s="3">
        <f ca="1">IFERROR(__xludf.DUMMYFUNCTION("""COMPUTED_VALUE"""),18130)</f>
        <v>18130</v>
      </c>
      <c r="E9" s="4">
        <f ca="1">IFERROR(__xludf.DUMMYFUNCTION("""COMPUTED_VALUE"""),76)</f>
        <v>76</v>
      </c>
      <c r="F9" s="1" t="str">
        <f ca="1">IFERROR(__xludf.DUMMYFUNCTION("""COMPUTED_VALUE"""),"ghingai@gmail.com")</f>
        <v>ghingai@gmail.com</v>
      </c>
      <c r="G9" s="5">
        <f ca="1">IFERROR(__xludf.DUMMYFUNCTION("""COMPUTED_VALUE"""),834498438)</f>
        <v>834498438</v>
      </c>
      <c r="H9" s="6">
        <f ca="1">IFERROR(__xludf.DUMMYFUNCTION("""COMPUTED_VALUE"""),2700427395)</f>
        <v>2700427395</v>
      </c>
      <c r="I9" s="1" t="str">
        <f ca="1">IFERROR(__xludf.DUMMYFUNCTION("""COMPUTED_VALUE"""),"Port Shepstone CC")</f>
        <v>Port Shepstone CC</v>
      </c>
      <c r="J9" s="3">
        <f ca="1">IFERROR(__xludf.DUMMYFUNCTION("""COMPUTED_VALUE"""),45947)</f>
        <v>45947</v>
      </c>
      <c r="K9" s="2">
        <f ca="1">IFERROR(__xludf.DUMMYFUNCTION("""COMPUTED_VALUE"""),1)</f>
        <v>1</v>
      </c>
      <c r="L9" s="18" t="b">
        <f ca="1">IFERROR(__xludf.DUMMYFUNCTION("""COMPUTED_VALUE"""),FALSE)</f>
        <v>0</v>
      </c>
      <c r="M9" s="18" t="b">
        <f ca="1">IFERROR(__xludf.DUMMYFUNCTION("""COMPUTED_VALUE"""),FALSE)</f>
        <v>0</v>
      </c>
      <c r="N9" s="18" t="b">
        <f ca="1">IFERROR(__xludf.DUMMYFUNCTION("""COMPUTED_VALUE"""),FALSE)</f>
        <v>0</v>
      </c>
      <c r="O9" s="18" t="b">
        <f ca="1">IFERROR(__xludf.DUMMYFUNCTION("""COMPUTED_VALUE"""),FALSE)</f>
        <v>0</v>
      </c>
      <c r="P9" s="18" t="b">
        <f ca="1">IFERROR(__xludf.DUMMYFUNCTION("""COMPUTED_VALUE"""),FALSE)</f>
        <v>0</v>
      </c>
      <c r="Q9" s="18" t="b">
        <f ca="1">IFERROR(__xludf.DUMMYFUNCTION("""COMPUTED_VALUE"""),FALSE)</f>
        <v>0</v>
      </c>
      <c r="R9" s="30" t="s">
        <v>26</v>
      </c>
      <c r="S9" s="31"/>
      <c r="T9" s="31"/>
      <c r="U9" s="25"/>
    </row>
    <row r="10" spans="1:21" ht="17.100000000000001" customHeight="1" x14ac:dyDescent="0.2">
      <c r="A10" s="1" t="str">
        <f ca="1">IFERROR(__xludf.DUMMYFUNCTION("""COMPUTED_VALUE"""),"Holmes")</f>
        <v>Holmes</v>
      </c>
      <c r="B10" s="1" t="str">
        <f ca="1">IFERROR(__xludf.DUMMYFUNCTION("""COMPUTED_VALUE"""),"Bruce")</f>
        <v>Bruce</v>
      </c>
      <c r="C10" s="2" t="str">
        <f ca="1">IFERROR(__xludf.DUMMYFUNCTION("""COMPUTED_VALUE"""),"LSC")</f>
        <v>LSC</v>
      </c>
      <c r="D10" s="3">
        <f ca="1">IFERROR(__xludf.DUMMYFUNCTION("""COMPUTED_VALUE"""),20201)</f>
        <v>20201</v>
      </c>
      <c r="E10" s="6">
        <f ca="1">IFERROR(__xludf.DUMMYFUNCTION("""COMPUTED_VALUE"""),70)</f>
        <v>70</v>
      </c>
      <c r="F10" s="1" t="str">
        <f ca="1">IFERROR(__xludf.DUMMYFUNCTION("""COMPUTED_VALUE"""),"holmes.brucev@gmail.com")</f>
        <v>holmes.brucev@gmail.com</v>
      </c>
      <c r="G10" s="5">
        <f ca="1">IFERROR(__xludf.DUMMYFUNCTION("""COMPUTED_VALUE"""),832898408)</f>
        <v>832898408</v>
      </c>
      <c r="H10" s="6">
        <f ca="1">IFERROR(__xludf.DUMMYFUNCTION("""COMPUTED_VALUE"""),2700292669)</f>
        <v>2700292669</v>
      </c>
      <c r="I10" s="1" t="str">
        <f ca="1">IFERROR(__xludf.DUMMYFUNCTION("""COMPUTED_VALUE"""),"Port Shepstone CC")</f>
        <v>Port Shepstone CC</v>
      </c>
      <c r="J10" s="3">
        <f ca="1">IFERROR(__xludf.DUMMYFUNCTION("""COMPUTED_VALUE"""),45792)</f>
        <v>45792</v>
      </c>
      <c r="K10" s="2">
        <f ca="1">IFERROR(__xludf.DUMMYFUNCTION("""COMPUTED_VALUE"""),1)</f>
        <v>1</v>
      </c>
      <c r="L10" s="18" t="b">
        <f ca="1">IFERROR(__xludf.DUMMYFUNCTION("""COMPUTED_VALUE"""),FALSE)</f>
        <v>0</v>
      </c>
      <c r="M10" s="18" t="b">
        <f ca="1">IFERROR(__xludf.DUMMYFUNCTION("""COMPUTED_VALUE"""),FALSE)</f>
        <v>0</v>
      </c>
      <c r="N10" s="18" t="b">
        <f ca="1">IFERROR(__xludf.DUMMYFUNCTION("""COMPUTED_VALUE"""),FALSE)</f>
        <v>0</v>
      </c>
      <c r="O10" s="18" t="b">
        <f ca="1">IFERROR(__xludf.DUMMYFUNCTION("""COMPUTED_VALUE"""),FALSE)</f>
        <v>0</v>
      </c>
      <c r="P10" s="18" t="b">
        <f ca="1">IFERROR(__xludf.DUMMYFUNCTION("""COMPUTED_VALUE"""),FALSE)</f>
        <v>0</v>
      </c>
      <c r="Q10" s="18" t="b">
        <f ca="1">IFERROR(__xludf.DUMMYFUNCTION("""COMPUTED_VALUE"""),FALSE)</f>
        <v>0</v>
      </c>
      <c r="R10" s="32" t="s">
        <v>27</v>
      </c>
      <c r="S10" s="33">
        <f ca="1">SUM(COUNTIF($P$3:$P29, "False"))</f>
        <v>18</v>
      </c>
      <c r="T10" s="33">
        <f ca="1">SUM(COUNTIF($P$2:$P29, "True"))</f>
        <v>9</v>
      </c>
      <c r="U10" s="25">
        <f t="shared" ref="U10:U15" ca="1" si="1">S10+T10</f>
        <v>27</v>
      </c>
    </row>
    <row r="11" spans="1:21" ht="17.100000000000001" customHeight="1" x14ac:dyDescent="0.2">
      <c r="A11" s="1" t="str">
        <f ca="1">IFERROR(__xludf.DUMMYFUNCTION("""COMPUTED_VALUE"""),"Howden")</f>
        <v>Howden</v>
      </c>
      <c r="B11" s="1" t="str">
        <f ca="1">IFERROR(__xludf.DUMMYFUNCTION("""COMPUTED_VALUE"""),"Dawn")</f>
        <v>Dawn</v>
      </c>
      <c r="C11" s="2" t="str">
        <f ca="1">IFERROR(__xludf.DUMMYFUNCTION("""COMPUTED_VALUE"""),"LSC")</f>
        <v>LSC</v>
      </c>
      <c r="D11" s="3">
        <f ca="1">IFERROR(__xludf.DUMMYFUNCTION("""COMPUTED_VALUE"""),23299)</f>
        <v>23299</v>
      </c>
      <c r="E11" s="6">
        <f ca="1">IFERROR(__xludf.DUMMYFUNCTION("""COMPUTED_VALUE"""),62)</f>
        <v>62</v>
      </c>
      <c r="F11" s="1" t="str">
        <f ca="1">IFERROR(__xludf.DUMMYFUNCTION("""COMPUTED_VALUE"""),"howdendawn@gmail.com")</f>
        <v>howdendawn@gmail.com</v>
      </c>
      <c r="G11" s="5">
        <f ca="1">IFERROR(__xludf.DUMMYFUNCTION("""COMPUTED_VALUE"""),835531135)</f>
        <v>835531135</v>
      </c>
      <c r="H11" s="6">
        <f ca="1">IFERROR(__xludf.DUMMYFUNCTION("""COMPUTED_VALUE"""),2700377302)</f>
        <v>2700377302</v>
      </c>
      <c r="I11" s="1" t="str">
        <f ca="1">IFERROR(__xludf.DUMMYFUNCTION("""COMPUTED_VALUE"""),"Margate CC")</f>
        <v>Margate CC</v>
      </c>
      <c r="J11" s="3">
        <f ca="1">IFERROR(__xludf.DUMMYFUNCTION("""COMPUTED_VALUE"""),45951)</f>
        <v>45951</v>
      </c>
      <c r="K11" s="2">
        <f ca="1">IFERROR(__xludf.DUMMYFUNCTION("""COMPUTED_VALUE"""),1)</f>
        <v>1</v>
      </c>
      <c r="L11" s="18" t="b">
        <f ca="1">IFERROR(__xludf.DUMMYFUNCTION("""COMPUTED_VALUE"""),FALSE)</f>
        <v>0</v>
      </c>
      <c r="M11" s="18" t="b">
        <f ca="1">IFERROR(__xludf.DUMMYFUNCTION("""COMPUTED_VALUE"""),FALSE)</f>
        <v>0</v>
      </c>
      <c r="N11" s="18" t="b">
        <f ca="1">IFERROR(__xludf.DUMMYFUNCTION("""COMPUTED_VALUE"""),FALSE)</f>
        <v>0</v>
      </c>
      <c r="O11" s="18" t="b">
        <f ca="1">IFERROR(__xludf.DUMMYFUNCTION("""COMPUTED_VALUE"""),FALSE)</f>
        <v>0</v>
      </c>
      <c r="P11" s="18" t="b">
        <f ca="1">IFERROR(__xludf.DUMMYFUNCTION("""COMPUTED_VALUE"""),TRUE)</f>
        <v>1</v>
      </c>
      <c r="Q11" s="18" t="b">
        <f ca="1">IFERROR(__xludf.DUMMYFUNCTION("""COMPUTED_VALUE"""),FALSE)</f>
        <v>0</v>
      </c>
      <c r="R11" s="32" t="s">
        <v>28</v>
      </c>
      <c r="S11" s="33">
        <f ca="1">COUNTIFS($E$3:$E29,"&lt;80",$L$3:$L29, "False",  $M$3:$M29, "False",  $P$3:$P29, "False")</f>
        <v>18</v>
      </c>
      <c r="T11" s="33">
        <f ca="1">COUNTIFS($E$3:$E29,"&lt;80",$L$3:$L29, "False",  $M$3:$M29, "False",  $P$3:$P29, "True")</f>
        <v>9</v>
      </c>
      <c r="U11" s="25">
        <f t="shared" ca="1" si="1"/>
        <v>27</v>
      </c>
    </row>
    <row r="12" spans="1:21" ht="17.100000000000001" customHeight="1" x14ac:dyDescent="0.2">
      <c r="A12" s="1" t="str">
        <f ca="1">IFERROR(__xludf.DUMMYFUNCTION("""COMPUTED_VALUE"""),"Howden")</f>
        <v>Howden</v>
      </c>
      <c r="B12" s="1" t="str">
        <f ca="1">IFERROR(__xludf.DUMMYFUNCTION("""COMPUTED_VALUE"""),"Kim")</f>
        <v>Kim</v>
      </c>
      <c r="C12" s="2" t="str">
        <f ca="1">IFERROR(__xludf.DUMMYFUNCTION("""COMPUTED_VALUE"""),"LSC")</f>
        <v>LSC</v>
      </c>
      <c r="D12" s="3">
        <f ca="1">IFERROR(__xludf.DUMMYFUNCTION("""COMPUTED_VALUE"""),22721)</f>
        <v>22721</v>
      </c>
      <c r="E12" s="6">
        <f ca="1">IFERROR(__xludf.DUMMYFUNCTION("""COMPUTED_VALUE"""),63)</f>
        <v>63</v>
      </c>
      <c r="F12" s="1" t="str">
        <f ca="1">IFERROR(__xludf.DUMMYFUNCTION("""COMPUTED_VALUE"""),"kimhowden1@gmail.com")</f>
        <v>kimhowden1@gmail.com</v>
      </c>
      <c r="G12" s="5">
        <f ca="1">IFERROR(__xludf.DUMMYFUNCTION("""COMPUTED_VALUE"""),827812496)</f>
        <v>827812496</v>
      </c>
      <c r="H12" s="6">
        <f ca="1">IFERROR(__xludf.DUMMYFUNCTION("""COMPUTED_VALUE"""),2700377303)</f>
        <v>2700377303</v>
      </c>
      <c r="I12" s="1" t="str">
        <f ca="1">IFERROR(__xludf.DUMMYFUNCTION("""COMPUTED_VALUE"""),"Margate CC")</f>
        <v>Margate CC</v>
      </c>
      <c r="J12" s="3">
        <f ca="1">IFERROR(__xludf.DUMMYFUNCTION("""COMPUTED_VALUE"""),45951)</f>
        <v>45951</v>
      </c>
      <c r="K12" s="2">
        <f ca="1">IFERROR(__xludf.DUMMYFUNCTION("""COMPUTED_VALUE"""),1)</f>
        <v>1</v>
      </c>
      <c r="L12" s="18" t="b">
        <f ca="1">IFERROR(__xludf.DUMMYFUNCTION("""COMPUTED_VALUE"""),FALSE)</f>
        <v>0</v>
      </c>
      <c r="M12" s="18" t="b">
        <f ca="1">IFERROR(__xludf.DUMMYFUNCTION("""COMPUTED_VALUE"""),FALSE)</f>
        <v>0</v>
      </c>
      <c r="N12" s="18" t="b">
        <f ca="1">IFERROR(__xludf.DUMMYFUNCTION("""COMPUTED_VALUE"""),FALSE)</f>
        <v>0</v>
      </c>
      <c r="O12" s="18" t="b">
        <f ca="1">IFERROR(__xludf.DUMMYFUNCTION("""COMPUTED_VALUE"""),FALSE)</f>
        <v>0</v>
      </c>
      <c r="P12" s="18" t="b">
        <f ca="1">IFERROR(__xludf.DUMMYFUNCTION("""COMPUTED_VALUE"""),FALSE)</f>
        <v>0</v>
      </c>
      <c r="Q12" s="18" t="b">
        <f ca="1">IFERROR(__xludf.DUMMYFUNCTION("""COMPUTED_VALUE"""),FALSE)</f>
        <v>0</v>
      </c>
      <c r="R12" s="32" t="s">
        <v>29</v>
      </c>
      <c r="S12" s="33">
        <f ca="1">COUNTIFS($E$3:$E29,"&lt;80",$L$3:$L29, "False",  $M$3:$M29, "False",  $P$3:$P29, "False", Q3:Q29,"False")</f>
        <v>18</v>
      </c>
      <c r="T12" s="34">
        <f ca="1">COUNTIFS($E$3:$E29,"&lt;80",$L$3:$L29, "False", $M$3:$M29, "False", $P$3:$P29, "True", $Q$3:$Q29,"False")</f>
        <v>9</v>
      </c>
      <c r="U12" s="25">
        <f t="shared" ca="1" si="1"/>
        <v>27</v>
      </c>
    </row>
    <row r="13" spans="1:21" ht="17.100000000000001" customHeight="1" x14ac:dyDescent="0.2">
      <c r="A13" s="1" t="str">
        <f ca="1">IFERROR(__xludf.DUMMYFUNCTION("""COMPUTED_VALUE"""),"Hulley")</f>
        <v>Hulley</v>
      </c>
      <c r="B13" s="1" t="str">
        <f ca="1">IFERROR(__xludf.DUMMYFUNCTION("""COMPUTED_VALUE"""),"Jen")</f>
        <v>Jen</v>
      </c>
      <c r="C13" s="2" t="str">
        <f ca="1">IFERROR(__xludf.DUMMYFUNCTION("""COMPUTED_VALUE"""),"LSC")</f>
        <v>LSC</v>
      </c>
      <c r="D13" s="3">
        <f ca="1">IFERROR(__xludf.DUMMYFUNCTION("""COMPUTED_VALUE"""),22039)</f>
        <v>22039</v>
      </c>
      <c r="E13" s="6">
        <f ca="1">IFERROR(__xludf.DUMMYFUNCTION("""COMPUTED_VALUE"""),65)</f>
        <v>65</v>
      </c>
      <c r="F13" s="1" t="str">
        <f ca="1">IFERROR(__xludf.DUMMYFUNCTION("""COMPUTED_VALUE"""),"jhulleyrsa@gmail.com")</f>
        <v>jhulleyrsa@gmail.com</v>
      </c>
      <c r="G13" s="5">
        <f ca="1">IFERROR(__xludf.DUMMYFUNCTION("""COMPUTED_VALUE"""),827092223)</f>
        <v>827092223</v>
      </c>
      <c r="H13" s="6">
        <f ca="1">IFERROR(__xludf.DUMMYFUNCTION("""COMPUTED_VALUE"""),2700270543)</f>
        <v>2700270543</v>
      </c>
      <c r="I13" s="1" t="str">
        <f ca="1">IFERROR(__xludf.DUMMYFUNCTION("""COMPUTED_VALUE"""),"Port Shepstone CC")</f>
        <v>Port Shepstone CC</v>
      </c>
      <c r="J13" s="3">
        <f ca="1">IFERROR(__xludf.DUMMYFUNCTION("""COMPUTED_VALUE"""),45933)</f>
        <v>45933</v>
      </c>
      <c r="K13" s="2">
        <f ca="1">IFERROR(__xludf.DUMMYFUNCTION("""COMPUTED_VALUE"""),1)</f>
        <v>1</v>
      </c>
      <c r="L13" s="18" t="b">
        <f ca="1">IFERROR(__xludf.DUMMYFUNCTION("""COMPUTED_VALUE"""),FALSE)</f>
        <v>0</v>
      </c>
      <c r="M13" s="18" t="b">
        <f ca="1">IFERROR(__xludf.DUMMYFUNCTION("""COMPUTED_VALUE"""),FALSE)</f>
        <v>0</v>
      </c>
      <c r="N13" s="18" t="b">
        <f ca="1">IFERROR(__xludf.DUMMYFUNCTION("""COMPUTED_VALUE"""),FALSE)</f>
        <v>0</v>
      </c>
      <c r="O13" s="18" t="b">
        <f ca="1">IFERROR(__xludf.DUMMYFUNCTION("""COMPUTED_VALUE"""),FALSE)</f>
        <v>0</v>
      </c>
      <c r="P13" s="18" t="b">
        <f ca="1">IFERROR(__xludf.DUMMYFUNCTION("""COMPUTED_VALUE"""),TRUE)</f>
        <v>1</v>
      </c>
      <c r="Q13" s="18" t="b">
        <f ca="1">IFERROR(__xludf.DUMMYFUNCTION("""COMPUTED_VALUE"""),FALSE)</f>
        <v>0</v>
      </c>
      <c r="R13" s="35" t="s">
        <v>30</v>
      </c>
      <c r="S13" s="33">
        <f ca="1">COUNTIFS($E$3:$E29,"&lt;80",$L$3:$L29, "False",  $M$3:$M29, "False",  $P$3:$P29, "False", $Q$3:$Q29, "True")</f>
        <v>0</v>
      </c>
      <c r="T13" s="33">
        <f ca="1">COUNTIFS($E$3:$E29,"&lt;80",$L$3:$L29, "False",  $M$3:$M29, "False",  $P$3:$P29, "True", $Q$3:$Q29, "True")</f>
        <v>0</v>
      </c>
      <c r="U13" s="25">
        <f t="shared" ca="1" si="1"/>
        <v>0</v>
      </c>
    </row>
    <row r="14" spans="1:21" ht="17.100000000000001" customHeight="1" x14ac:dyDescent="0.2">
      <c r="A14" s="1" t="str">
        <f ca="1">IFERROR(__xludf.DUMMYFUNCTION("""COMPUTED_VALUE"""),"Jacobsz")</f>
        <v>Jacobsz</v>
      </c>
      <c r="B14" s="1" t="str">
        <f ca="1">IFERROR(__xludf.DUMMYFUNCTION("""COMPUTED_VALUE"""),"David")</f>
        <v>David</v>
      </c>
      <c r="C14" s="2" t="str">
        <f ca="1">IFERROR(__xludf.DUMMYFUNCTION("""COMPUTED_VALUE"""),"LSC")</f>
        <v>LSC</v>
      </c>
      <c r="D14" s="3">
        <f ca="1">IFERROR(__xludf.DUMMYFUNCTION("""COMPUTED_VALUE"""),19993)</f>
        <v>19993</v>
      </c>
      <c r="E14" s="6">
        <f ca="1">IFERROR(__xludf.DUMMYFUNCTION("""COMPUTED_VALUE"""),71)</f>
        <v>71</v>
      </c>
      <c r="F14" s="1" t="str">
        <f ca="1">IFERROR(__xludf.DUMMYFUNCTION("""COMPUTED_VALUE"""),"dhjacobsz@absamail.co.za")</f>
        <v>dhjacobsz@absamail.co.za</v>
      </c>
      <c r="G14" s="5">
        <f ca="1">IFERROR(__xludf.DUMMYFUNCTION("""COMPUTED_VALUE"""),829281156)</f>
        <v>829281156</v>
      </c>
      <c r="H14" s="6">
        <f ca="1">IFERROR(__xludf.DUMMYFUNCTION("""COMPUTED_VALUE"""),2700074637)</f>
        <v>2700074637</v>
      </c>
      <c r="I14" s="1" t="str">
        <f ca="1">IFERROR(__xludf.DUMMYFUNCTION("""COMPUTED_VALUE"""),"Margate CC")</f>
        <v>Margate CC</v>
      </c>
      <c r="J14" s="3">
        <f ca="1">IFERROR(__xludf.DUMMYFUNCTION("""COMPUTED_VALUE"""),45940)</f>
        <v>45940</v>
      </c>
      <c r="K14" s="2">
        <f ca="1">IFERROR(__xludf.DUMMYFUNCTION("""COMPUTED_VALUE"""),1)</f>
        <v>1</v>
      </c>
      <c r="L14" s="18" t="b">
        <f ca="1">IFERROR(__xludf.DUMMYFUNCTION("""COMPUTED_VALUE"""),FALSE)</f>
        <v>0</v>
      </c>
      <c r="M14" s="18" t="b">
        <f ca="1">IFERROR(__xludf.DUMMYFUNCTION("""COMPUTED_VALUE"""),FALSE)</f>
        <v>0</v>
      </c>
      <c r="N14" s="18" t="b">
        <f ca="1">IFERROR(__xludf.DUMMYFUNCTION("""COMPUTED_VALUE"""),FALSE)</f>
        <v>0</v>
      </c>
      <c r="O14" s="18" t="b">
        <f ca="1">IFERROR(__xludf.DUMMYFUNCTION("""COMPUTED_VALUE"""),FALSE)</f>
        <v>0</v>
      </c>
      <c r="P14" s="18" t="b">
        <f ca="1">IFERROR(__xludf.DUMMYFUNCTION("""COMPUTED_VALUE"""),FALSE)</f>
        <v>0</v>
      </c>
      <c r="Q14" s="18" t="b">
        <f ca="1">IFERROR(__xludf.DUMMYFUNCTION("""COMPUTED_VALUE"""),FALSE)</f>
        <v>0</v>
      </c>
      <c r="R14" s="36" t="str">
        <f ca="1">"New Registrations for "&amp;YEAR(R2)</f>
        <v>New Registrations for 2026</v>
      </c>
      <c r="S14" s="37"/>
      <c r="T14" s="37"/>
      <c r="U14" s="38">
        <f t="shared" si="1"/>
        <v>0</v>
      </c>
    </row>
    <row r="15" spans="1:21" ht="17.100000000000001" customHeight="1" x14ac:dyDescent="0.2">
      <c r="A15" s="1" t="str">
        <f ca="1">IFERROR(__xludf.DUMMYFUNCTION("""COMPUTED_VALUE"""),"Johnston")</f>
        <v>Johnston</v>
      </c>
      <c r="B15" s="1" t="str">
        <f ca="1">IFERROR(__xludf.DUMMYFUNCTION("""COMPUTED_VALUE"""),"Sandi")</f>
        <v>Sandi</v>
      </c>
      <c r="C15" s="2" t="str">
        <f ca="1">IFERROR(__xludf.DUMMYFUNCTION("""COMPUTED_VALUE"""),"LSC")</f>
        <v>LSC</v>
      </c>
      <c r="D15" s="3">
        <f ca="1">IFERROR(__xludf.DUMMYFUNCTION("""COMPUTED_VALUE"""),20894)</f>
        <v>20894</v>
      </c>
      <c r="E15" s="6">
        <f ca="1">IFERROR(__xludf.DUMMYFUNCTION("""COMPUTED_VALUE"""),68)</f>
        <v>68</v>
      </c>
      <c r="F15" s="1" t="str">
        <f ca="1">IFERROR(__xludf.DUMMYFUNCTION("""COMPUTED_VALUE"""),"geckomoon@telkomsa.net")</f>
        <v>geckomoon@telkomsa.net</v>
      </c>
      <c r="G15" s="5">
        <f ca="1">IFERROR(__xludf.DUMMYFUNCTION("""COMPUTED_VALUE"""),826021640)</f>
        <v>826021640</v>
      </c>
      <c r="H15" s="6">
        <f ca="1">IFERROR(__xludf.DUMMYFUNCTION("""COMPUTED_VALUE"""),2700103660)</f>
        <v>2700103660</v>
      </c>
      <c r="I15" s="1" t="str">
        <f ca="1">IFERROR(__xludf.DUMMYFUNCTION("""COMPUTED_VALUE"""),"Margate CC")</f>
        <v>Margate CC</v>
      </c>
      <c r="J15" s="3">
        <f ca="1">IFERROR(__xludf.DUMMYFUNCTION("""COMPUTED_VALUE"""),45944)</f>
        <v>45944</v>
      </c>
      <c r="K15" s="2">
        <f ca="1">IFERROR(__xludf.DUMMYFUNCTION("""COMPUTED_VALUE"""),1)</f>
        <v>1</v>
      </c>
      <c r="L15" s="18" t="b">
        <f ca="1">IFERROR(__xludf.DUMMYFUNCTION("""COMPUTED_VALUE"""),FALSE)</f>
        <v>0</v>
      </c>
      <c r="M15" s="18" t="b">
        <f ca="1">IFERROR(__xludf.DUMMYFUNCTION("""COMPUTED_VALUE"""),FALSE)</f>
        <v>0</v>
      </c>
      <c r="N15" s="18" t="b">
        <f ca="1">IFERROR(__xludf.DUMMYFUNCTION("""COMPUTED_VALUE"""),FALSE)</f>
        <v>0</v>
      </c>
      <c r="O15" s="18" t="b">
        <f ca="1">IFERROR(__xludf.DUMMYFUNCTION("""COMPUTED_VALUE"""),FALSE)</f>
        <v>0</v>
      </c>
      <c r="P15" s="18" t="b">
        <f ca="1">IFERROR(__xludf.DUMMYFUNCTION("""COMPUTED_VALUE"""),TRUE)</f>
        <v>1</v>
      </c>
      <c r="Q15" s="18" t="b">
        <f ca="1">IFERROR(__xludf.DUMMYFUNCTION("""COMPUTED_VALUE"""),FALSE)</f>
        <v>0</v>
      </c>
      <c r="R15" s="32" t="s">
        <v>31</v>
      </c>
      <c r="S15" s="39">
        <f ca="1">COUNTIFS($J$3:J29,"&gt;="&amp;$U$2,$J$3:$J29,"&lt;="&amp;$R$2,$E$3:$E29,"&lt;80",$L$3:$L29, "False",  $M$3:$M29, "False",  $P$3:$P29, "False", $Q$3:$Q29,"True")</f>
        <v>0</v>
      </c>
      <c r="T15" s="40">
        <f ca="1">COUNTIFS($J$3:J29,"&gt;="&amp;$U$2,$J$3:$J29,"&lt;="&amp;$R$2,$E$3:$E29,"&lt;80",$L$3:$L29, "False",  $M$3:$M29, "False",  $P$3:$P29, "True", $Q$3:$Q29,"True")</f>
        <v>0</v>
      </c>
      <c r="U15" s="38">
        <f t="shared" ca="1" si="1"/>
        <v>0</v>
      </c>
    </row>
    <row r="16" spans="1:21" ht="17.100000000000001" customHeight="1" x14ac:dyDescent="0.2">
      <c r="A16" s="1" t="str">
        <f ca="1">IFERROR(__xludf.DUMMYFUNCTION("""COMPUTED_VALUE"""),"Jordaan")</f>
        <v>Jordaan</v>
      </c>
      <c r="B16" s="1" t="str">
        <f ca="1">IFERROR(__xludf.DUMMYFUNCTION("""COMPUTED_VALUE"""),"Willem")</f>
        <v>Willem</v>
      </c>
      <c r="C16" s="2" t="str">
        <f ca="1">IFERROR(__xludf.DUMMYFUNCTION("""COMPUTED_VALUE"""),"LSC")</f>
        <v>LSC</v>
      </c>
      <c r="D16" s="3">
        <f ca="1">IFERROR(__xludf.DUMMYFUNCTION("""COMPUTED_VALUE"""),20875)</f>
        <v>20875</v>
      </c>
      <c r="E16" s="6">
        <f ca="1">IFERROR(__xludf.DUMMYFUNCTION("""COMPUTED_VALUE"""),68)</f>
        <v>68</v>
      </c>
      <c r="F16" s="1" t="str">
        <f ca="1">IFERROR(__xludf.DUMMYFUNCTION("""COMPUTED_VALUE"""),"wimpie.jordaan@yahoo.com")</f>
        <v>wimpie.jordaan@yahoo.com</v>
      </c>
      <c r="G16" s="5">
        <f ca="1">IFERROR(__xludf.DUMMYFUNCTION("""COMPUTED_VALUE"""),823661300)</f>
        <v>823661300</v>
      </c>
      <c r="H16" s="6">
        <f ca="1">IFERROR(__xludf.DUMMYFUNCTION("""COMPUTED_VALUE"""),2700048012)</f>
        <v>2700048012</v>
      </c>
      <c r="I16" s="1" t="str">
        <f ca="1">IFERROR(__xludf.DUMMYFUNCTION("""COMPUTED_VALUE"""),"Margate CC")</f>
        <v>Margate CC</v>
      </c>
      <c r="J16" s="3">
        <f ca="1">IFERROR(__xludf.DUMMYFUNCTION("""COMPUTED_VALUE"""),45877)</f>
        <v>45877</v>
      </c>
      <c r="K16" s="2">
        <f ca="1">IFERROR(__xludf.DUMMYFUNCTION("""COMPUTED_VALUE"""),1)</f>
        <v>1</v>
      </c>
      <c r="L16" s="18" t="b">
        <f ca="1">IFERROR(__xludf.DUMMYFUNCTION("""COMPUTED_VALUE"""),FALSE)</f>
        <v>0</v>
      </c>
      <c r="M16" s="18" t="b">
        <f ca="1">IFERROR(__xludf.DUMMYFUNCTION("""COMPUTED_VALUE"""),FALSE)</f>
        <v>0</v>
      </c>
      <c r="N16" s="18" t="b">
        <f ca="1">IFERROR(__xludf.DUMMYFUNCTION("""COMPUTED_VALUE"""),FALSE)</f>
        <v>0</v>
      </c>
      <c r="O16" s="18" t="b">
        <f ca="1">IFERROR(__xludf.DUMMYFUNCTION("""COMPUTED_VALUE"""),FALSE)</f>
        <v>0</v>
      </c>
      <c r="P16" s="18" t="b">
        <f ca="1">IFERROR(__xludf.DUMMYFUNCTION("""COMPUTED_VALUE"""),FALSE)</f>
        <v>0</v>
      </c>
      <c r="Q16" s="18" t="b">
        <f ca="1">IFERROR(__xludf.DUMMYFUNCTION("""COMPUTED_VALUE"""),FALSE)</f>
        <v>0</v>
      </c>
      <c r="R16" s="41"/>
      <c r="S16" s="42"/>
      <c r="T16" s="43"/>
      <c r="U16" s="44"/>
    </row>
    <row r="17" spans="1:21" ht="17.100000000000001" customHeight="1" x14ac:dyDescent="0.2">
      <c r="A17" s="1" t="str">
        <f ca="1">IFERROR(__xludf.DUMMYFUNCTION("""COMPUTED_VALUE"""),"Joubert")</f>
        <v>Joubert</v>
      </c>
      <c r="B17" s="1" t="str">
        <f ca="1">IFERROR(__xludf.DUMMYFUNCTION("""COMPUTED_VALUE"""),"Joep")</f>
        <v>Joep</v>
      </c>
      <c r="C17" s="2" t="str">
        <f ca="1">IFERROR(__xludf.DUMMYFUNCTION("""COMPUTED_VALUE"""),"LSC")</f>
        <v>LSC</v>
      </c>
      <c r="D17" s="3">
        <f ca="1">IFERROR(__xludf.DUMMYFUNCTION("""COMPUTED_VALUE"""),20304)</f>
        <v>20304</v>
      </c>
      <c r="E17" s="6">
        <f ca="1">IFERROR(__xludf.DUMMYFUNCTION("""COMPUTED_VALUE"""),70)</f>
        <v>70</v>
      </c>
      <c r="F17" s="1" t="str">
        <f ca="1">IFERROR(__xludf.DUMMYFUNCTION("""COMPUTED_VALUE"""),"bjhjoubert@gmail.com")</f>
        <v>bjhjoubert@gmail.com</v>
      </c>
      <c r="G17" s="5">
        <f ca="1">IFERROR(__xludf.DUMMYFUNCTION("""COMPUTED_VALUE"""),829203184)</f>
        <v>829203184</v>
      </c>
      <c r="H17" s="6">
        <f ca="1">IFERROR(__xludf.DUMMYFUNCTION("""COMPUTED_VALUE"""),2700431260)</f>
        <v>2700431260</v>
      </c>
      <c r="I17" s="1" t="str">
        <f ca="1">IFERROR(__xludf.DUMMYFUNCTION("""COMPUTED_VALUE"""),"Margate CC")</f>
        <v>Margate CC</v>
      </c>
      <c r="J17" s="3">
        <f ca="1">IFERROR(__xludf.DUMMYFUNCTION("""COMPUTED_VALUE"""),45960)</f>
        <v>45960</v>
      </c>
      <c r="K17" s="2">
        <f ca="1">IFERROR(__xludf.DUMMYFUNCTION("""COMPUTED_VALUE"""),1)</f>
        <v>1</v>
      </c>
      <c r="L17" s="18" t="b">
        <f ca="1">IFERROR(__xludf.DUMMYFUNCTION("""COMPUTED_VALUE"""),FALSE)</f>
        <v>0</v>
      </c>
      <c r="M17" s="18" t="b">
        <f ca="1">IFERROR(__xludf.DUMMYFUNCTION("""COMPUTED_VALUE"""),FALSE)</f>
        <v>0</v>
      </c>
      <c r="N17" s="18" t="b">
        <f ca="1">IFERROR(__xludf.DUMMYFUNCTION("""COMPUTED_VALUE"""),FALSE)</f>
        <v>0</v>
      </c>
      <c r="O17" s="18" t="b">
        <f ca="1">IFERROR(__xludf.DUMMYFUNCTION("""COMPUTED_VALUE"""),FALSE)</f>
        <v>0</v>
      </c>
      <c r="P17" s="18" t="b">
        <f ca="1">IFERROR(__xludf.DUMMYFUNCTION("""COMPUTED_VALUE"""),FALSE)</f>
        <v>0</v>
      </c>
      <c r="Q17" s="18" t="b">
        <f ca="1">IFERROR(__xludf.DUMMYFUNCTION("""COMPUTED_VALUE"""),FALSE)</f>
        <v>0</v>
      </c>
      <c r="R17" s="45" t="s">
        <v>32</v>
      </c>
      <c r="S17" s="46" t="s">
        <v>33</v>
      </c>
      <c r="T17" s="46" t="s">
        <v>34</v>
      </c>
      <c r="U17" s="47" t="s">
        <v>20</v>
      </c>
    </row>
    <row r="18" spans="1:21" ht="17.100000000000001" customHeight="1" x14ac:dyDescent="0.2">
      <c r="A18" s="1" t="str">
        <f ca="1">IFERROR(__xludf.DUMMYFUNCTION("""COMPUTED_VALUE"""),"Kankowski")</f>
        <v>Kankowski</v>
      </c>
      <c r="B18" s="1" t="str">
        <f ca="1">IFERROR(__xludf.DUMMYFUNCTION("""COMPUTED_VALUE"""),"Big B")</f>
        <v>Big B</v>
      </c>
      <c r="C18" s="2" t="str">
        <f ca="1">IFERROR(__xludf.DUMMYFUNCTION("""COMPUTED_VALUE"""),"LSC")</f>
        <v>LSC</v>
      </c>
      <c r="D18" s="3">
        <f ca="1">IFERROR(__xludf.DUMMYFUNCTION("""COMPUTED_VALUE"""),22729)</f>
        <v>22729</v>
      </c>
      <c r="E18" s="6">
        <f ca="1">IFERROR(__xludf.DUMMYFUNCTION("""COMPUTED_VALUE"""),63)</f>
        <v>63</v>
      </c>
      <c r="F18" s="1" t="str">
        <f ca="1">IFERROR(__xludf.DUMMYFUNCTION("""COMPUTED_VALUE"""),"kankowskibernd@gmail.com")</f>
        <v>kankowskibernd@gmail.com</v>
      </c>
      <c r="G18" s="5">
        <f ca="1">IFERROR(__xludf.DUMMYFUNCTION("""COMPUTED_VALUE"""),824559212)</f>
        <v>824559212</v>
      </c>
      <c r="H18" s="6"/>
      <c r="I18" s="1" t="str">
        <f ca="1">IFERROR(__xludf.DUMMYFUNCTION("""COMPUTED_VALUE"""),"Drakensberg Gardens (appl.)")</f>
        <v>Drakensberg Gardens (appl.)</v>
      </c>
      <c r="J18" s="3">
        <f ca="1">IFERROR(__xludf.DUMMYFUNCTION("""COMPUTED_VALUE"""),45964)</f>
        <v>45964</v>
      </c>
      <c r="K18" s="2">
        <f ca="1">IFERROR(__xludf.DUMMYFUNCTION("""COMPUTED_VALUE"""),1)</f>
        <v>1</v>
      </c>
      <c r="L18" s="18" t="b">
        <f ca="1">IFERROR(__xludf.DUMMYFUNCTION("""COMPUTED_VALUE"""),FALSE)</f>
        <v>0</v>
      </c>
      <c r="M18" s="18" t="b">
        <f ca="1">IFERROR(__xludf.DUMMYFUNCTION("""COMPUTED_VALUE"""),FALSE)</f>
        <v>0</v>
      </c>
      <c r="N18" s="18" t="b">
        <f ca="1">IFERROR(__xludf.DUMMYFUNCTION("""COMPUTED_VALUE"""),FALSE)</f>
        <v>0</v>
      </c>
      <c r="O18" s="18" t="b">
        <f ca="1">IFERROR(__xludf.DUMMYFUNCTION("""COMPUTED_VALUE"""),FALSE)</f>
        <v>0</v>
      </c>
      <c r="P18" s="18" t="b">
        <f ca="1">IFERROR(__xludf.DUMMYFUNCTION("""COMPUTED_VALUE"""),FALSE)</f>
        <v>0</v>
      </c>
      <c r="Q18" s="18" t="b">
        <f ca="1">IFERROR(__xludf.DUMMYFUNCTION("""COMPUTED_VALUE"""),FALSE)</f>
        <v>0</v>
      </c>
      <c r="R18" s="48" t="s">
        <v>35</v>
      </c>
      <c r="S18" s="49"/>
      <c r="T18" s="50"/>
      <c r="U18" s="51">
        <f>SUM(S18*T18)</f>
        <v>0</v>
      </c>
    </row>
    <row r="19" spans="1:21" ht="17.100000000000001" customHeight="1" x14ac:dyDescent="0.2">
      <c r="A19" s="1" t="str">
        <f ca="1">IFERROR(__xludf.DUMMYFUNCTION("""COMPUTED_VALUE"""),"Kriegler")</f>
        <v>Kriegler</v>
      </c>
      <c r="B19" s="1" t="str">
        <f ca="1">IFERROR(__xludf.DUMMYFUNCTION("""COMPUTED_VALUE"""),"Alta")</f>
        <v>Alta</v>
      </c>
      <c r="C19" s="2" t="str">
        <f ca="1">IFERROR(__xludf.DUMMYFUNCTION("""COMPUTED_VALUE"""),"LSC")</f>
        <v>LSC</v>
      </c>
      <c r="D19" s="3">
        <f ca="1">IFERROR(__xludf.DUMMYFUNCTION("""COMPUTED_VALUE"""),22177)</f>
        <v>22177</v>
      </c>
      <c r="E19" s="6">
        <f ca="1">IFERROR(__xludf.DUMMYFUNCTION("""COMPUTED_VALUE"""),65)</f>
        <v>65</v>
      </c>
      <c r="F19" s="1" t="str">
        <f ca="1">IFERROR(__xludf.DUMMYFUNCTION("""COMPUTED_VALUE"""),"altakriegler@gmail.com")</f>
        <v>altakriegler@gmail.com</v>
      </c>
      <c r="G19" s="5">
        <f ca="1">IFERROR(__xludf.DUMMYFUNCTION("""COMPUTED_VALUE"""),828797293)</f>
        <v>828797293</v>
      </c>
      <c r="H19" s="6">
        <f ca="1">IFERROR(__xludf.DUMMYFUNCTION("""COMPUTED_VALUE"""),2700419250)</f>
        <v>2700419250</v>
      </c>
      <c r="I19" s="1" t="str">
        <f ca="1">IFERROR(__xludf.DUMMYFUNCTION("""COMPUTED_VALUE"""),"Southbroom GC")</f>
        <v>Southbroom GC</v>
      </c>
      <c r="J19" s="3">
        <f ca="1">IFERROR(__xludf.DUMMYFUNCTION("""COMPUTED_VALUE"""),45961)</f>
        <v>45961</v>
      </c>
      <c r="K19" s="2">
        <f ca="1">IFERROR(__xludf.DUMMYFUNCTION("""COMPUTED_VALUE"""),1)</f>
        <v>1</v>
      </c>
      <c r="L19" s="18" t="b">
        <f ca="1">IFERROR(__xludf.DUMMYFUNCTION("""COMPUTED_VALUE"""),FALSE)</f>
        <v>0</v>
      </c>
      <c r="M19" s="18" t="b">
        <f ca="1">IFERROR(__xludf.DUMMYFUNCTION("""COMPUTED_VALUE"""),FALSE)</f>
        <v>0</v>
      </c>
      <c r="N19" s="18" t="b">
        <f ca="1">IFERROR(__xludf.DUMMYFUNCTION("""COMPUTED_VALUE"""),FALSE)</f>
        <v>0</v>
      </c>
      <c r="O19" s="18" t="b">
        <f ca="1">IFERROR(__xludf.DUMMYFUNCTION("""COMPUTED_VALUE"""),FALSE)</f>
        <v>0</v>
      </c>
      <c r="P19" s="18" t="b">
        <f ca="1">IFERROR(__xludf.DUMMYFUNCTION("""COMPUTED_VALUE"""),TRUE)</f>
        <v>1</v>
      </c>
      <c r="Q19" s="18" t="b">
        <f ca="1">IFERROR(__xludf.DUMMYFUNCTION("""COMPUTED_VALUE"""),FALSE)</f>
        <v>0</v>
      </c>
      <c r="R19" s="48" t="s">
        <v>36</v>
      </c>
      <c r="S19" s="49"/>
      <c r="T19" s="50"/>
      <c r="U19" s="51">
        <f>SUM(S19*T19)</f>
        <v>0</v>
      </c>
    </row>
    <row r="20" spans="1:21" ht="17.100000000000001" customHeight="1" x14ac:dyDescent="0.2">
      <c r="A20" s="1" t="str">
        <f ca="1">IFERROR(__xludf.DUMMYFUNCTION("""COMPUTED_VALUE"""),"Lind")</f>
        <v>Lind</v>
      </c>
      <c r="B20" s="1" t="str">
        <f ca="1">IFERROR(__xludf.DUMMYFUNCTION("""COMPUTED_VALUE"""),"Bryan")</f>
        <v>Bryan</v>
      </c>
      <c r="C20" s="2" t="str">
        <f ca="1">IFERROR(__xludf.DUMMYFUNCTION("""COMPUTED_VALUE"""),"LSC")</f>
        <v>LSC</v>
      </c>
      <c r="D20" s="3">
        <f ca="1">IFERROR(__xludf.DUMMYFUNCTION("""COMPUTED_VALUE"""),21136)</f>
        <v>21136</v>
      </c>
      <c r="E20" s="6">
        <f ca="1">IFERROR(__xludf.DUMMYFUNCTION("""COMPUTED_VALUE"""),68)</f>
        <v>68</v>
      </c>
      <c r="F20" s="1" t="str">
        <f ca="1">IFERROR(__xludf.DUMMYFUNCTION("""COMPUTED_VALUE"""),"janelind@mweb.co.za")</f>
        <v>janelind@mweb.co.za</v>
      </c>
      <c r="G20" s="5">
        <f ca="1">IFERROR(__xludf.DUMMYFUNCTION("""COMPUTED_VALUE"""),829044601)</f>
        <v>829044601</v>
      </c>
      <c r="H20" s="6">
        <f ca="1">IFERROR(__xludf.DUMMYFUNCTION("""COMPUTED_VALUE"""),2700071057)</f>
        <v>2700071057</v>
      </c>
      <c r="I20" s="1" t="str">
        <f ca="1">IFERROR(__xludf.DUMMYFUNCTION("""COMPUTED_VALUE"""),"Drakensberg Gardens")</f>
        <v>Drakensberg Gardens</v>
      </c>
      <c r="J20" s="3">
        <f ca="1">IFERROR(__xludf.DUMMYFUNCTION("""COMPUTED_VALUE"""),45943)</f>
        <v>45943</v>
      </c>
      <c r="K20" s="2">
        <f ca="1">IFERROR(__xludf.DUMMYFUNCTION("""COMPUTED_VALUE"""),1)</f>
        <v>1</v>
      </c>
      <c r="L20" s="18" t="b">
        <f ca="1">IFERROR(__xludf.DUMMYFUNCTION("""COMPUTED_VALUE"""),FALSE)</f>
        <v>0</v>
      </c>
      <c r="M20" s="18" t="b">
        <f ca="1">IFERROR(__xludf.DUMMYFUNCTION("""COMPUTED_VALUE"""),FALSE)</f>
        <v>0</v>
      </c>
      <c r="N20" s="18" t="b">
        <f ca="1">IFERROR(__xludf.DUMMYFUNCTION("""COMPUTED_VALUE"""),FALSE)</f>
        <v>0</v>
      </c>
      <c r="O20" s="18" t="b">
        <f ca="1">IFERROR(__xludf.DUMMYFUNCTION("""COMPUTED_VALUE"""),FALSE)</f>
        <v>0</v>
      </c>
      <c r="P20" s="18" t="b">
        <f ca="1">IFERROR(__xludf.DUMMYFUNCTION("""COMPUTED_VALUE"""),FALSE)</f>
        <v>0</v>
      </c>
      <c r="Q20" s="18" t="b">
        <f ca="1">IFERROR(__xludf.DUMMYFUNCTION("""COMPUTED_VALUE"""),FALSE)</f>
        <v>0</v>
      </c>
      <c r="R20" s="48"/>
      <c r="S20" s="52"/>
      <c r="T20" s="50"/>
      <c r="U20" s="51"/>
    </row>
    <row r="21" spans="1:21" ht="17.100000000000001" customHeight="1" thickBot="1" x14ac:dyDescent="0.25">
      <c r="A21" s="1" t="str">
        <f ca="1">IFERROR(__xludf.DUMMYFUNCTION("""COMPUTED_VALUE"""),"Lind")</f>
        <v>Lind</v>
      </c>
      <c r="B21" s="1" t="str">
        <f ca="1">IFERROR(__xludf.DUMMYFUNCTION("""COMPUTED_VALUE"""),"Jane")</f>
        <v>Jane</v>
      </c>
      <c r="C21" s="2" t="str">
        <f ca="1">IFERROR(__xludf.DUMMYFUNCTION("""COMPUTED_VALUE"""),"LSC")</f>
        <v>LSC</v>
      </c>
      <c r="D21" s="3">
        <f ca="1">IFERROR(__xludf.DUMMYFUNCTION("""COMPUTED_VALUE"""),21936)</f>
        <v>21936</v>
      </c>
      <c r="E21" s="6">
        <f ca="1">IFERROR(__xludf.DUMMYFUNCTION("""COMPUTED_VALUE"""),65)</f>
        <v>65</v>
      </c>
      <c r="F21" s="1" t="str">
        <f ca="1">IFERROR(__xludf.DUMMYFUNCTION("""COMPUTED_VALUE"""),"janelind@mweb.co.za")</f>
        <v>janelind@mweb.co.za</v>
      </c>
      <c r="G21" s="5">
        <f ca="1">IFERROR(__xludf.DUMMYFUNCTION("""COMPUTED_VALUE"""),833578209)</f>
        <v>833578209</v>
      </c>
      <c r="H21" s="6">
        <f ca="1">IFERROR(__xludf.DUMMYFUNCTION("""COMPUTED_VALUE"""),2700071138)</f>
        <v>2700071138</v>
      </c>
      <c r="I21" s="1" t="str">
        <f ca="1">IFERROR(__xludf.DUMMYFUNCTION("""COMPUTED_VALUE"""),"Port Shepstone CC")</f>
        <v>Port Shepstone CC</v>
      </c>
      <c r="J21" s="3">
        <f ca="1">IFERROR(__xludf.DUMMYFUNCTION("""COMPUTED_VALUE"""),45943)</f>
        <v>45943</v>
      </c>
      <c r="K21" s="2">
        <f ca="1">IFERROR(__xludf.DUMMYFUNCTION("""COMPUTED_VALUE"""),1)</f>
        <v>1</v>
      </c>
      <c r="L21" s="18" t="b">
        <f ca="1">IFERROR(__xludf.DUMMYFUNCTION("""COMPUTED_VALUE"""),FALSE)</f>
        <v>0</v>
      </c>
      <c r="M21" s="18" t="b">
        <f ca="1">IFERROR(__xludf.DUMMYFUNCTION("""COMPUTED_VALUE"""),FALSE)</f>
        <v>0</v>
      </c>
      <c r="N21" s="18" t="b">
        <f ca="1">IFERROR(__xludf.DUMMYFUNCTION("""COMPUTED_VALUE"""),FALSE)</f>
        <v>0</v>
      </c>
      <c r="O21" s="18" t="b">
        <f ca="1">IFERROR(__xludf.DUMMYFUNCTION("""COMPUTED_VALUE"""),FALSE)</f>
        <v>0</v>
      </c>
      <c r="P21" s="18" t="b">
        <f ca="1">IFERROR(__xludf.DUMMYFUNCTION("""COMPUTED_VALUE"""),TRUE)</f>
        <v>1</v>
      </c>
      <c r="Q21" s="18" t="b">
        <f ca="1">IFERROR(__xludf.DUMMYFUNCTION("""COMPUTED_VALUE"""),FALSE)</f>
        <v>0</v>
      </c>
      <c r="R21" s="53" t="s">
        <v>37</v>
      </c>
      <c r="S21" s="54"/>
      <c r="T21" s="55"/>
      <c r="U21" s="56">
        <f>SUM(U18:U20)</f>
        <v>0</v>
      </c>
    </row>
    <row r="22" spans="1:21" ht="17.100000000000001" customHeight="1" thickTop="1" x14ac:dyDescent="0.2">
      <c r="A22" s="1" t="str">
        <f ca="1">IFERROR(__xludf.DUMMYFUNCTION("""COMPUTED_VALUE"""),"Marx")</f>
        <v>Marx</v>
      </c>
      <c r="B22" s="1" t="str">
        <f ca="1">IFERROR(__xludf.DUMMYFUNCTION("""COMPUTED_VALUE"""),"Debbie")</f>
        <v>Debbie</v>
      </c>
      <c r="C22" s="2" t="str">
        <f ca="1">IFERROR(__xludf.DUMMYFUNCTION("""COMPUTED_VALUE"""),"LSC")</f>
        <v>LSC</v>
      </c>
      <c r="D22" s="3">
        <f ca="1">IFERROR(__xludf.DUMMYFUNCTION("""COMPUTED_VALUE"""),23283)</f>
        <v>23283</v>
      </c>
      <c r="E22" s="6">
        <f ca="1">IFERROR(__xludf.DUMMYFUNCTION("""COMPUTED_VALUE"""),62)</f>
        <v>62</v>
      </c>
      <c r="F22" s="1" t="str">
        <f ca="1">IFERROR(__xludf.DUMMYFUNCTION("""COMPUTED_VALUE"""),"debbiemarx@telkomsa.net")</f>
        <v>debbiemarx@telkomsa.net</v>
      </c>
      <c r="G22" s="5">
        <f ca="1">IFERROR(__xludf.DUMMYFUNCTION("""COMPUTED_VALUE"""),829235882)</f>
        <v>829235882</v>
      </c>
      <c r="H22" s="6">
        <f ca="1">IFERROR(__xludf.DUMMYFUNCTION("""COMPUTED_VALUE"""),2700400182)</f>
        <v>2700400182</v>
      </c>
      <c r="I22" s="1" t="str">
        <f ca="1">IFERROR(__xludf.DUMMYFUNCTION("""COMPUTED_VALUE"""),"Margate CC")</f>
        <v>Margate CC</v>
      </c>
      <c r="J22" s="3">
        <f ca="1">IFERROR(__xludf.DUMMYFUNCTION("""COMPUTED_VALUE"""),45962)</f>
        <v>45962</v>
      </c>
      <c r="K22" s="2">
        <f ca="1">IFERROR(__xludf.DUMMYFUNCTION("""COMPUTED_VALUE"""),1)</f>
        <v>1</v>
      </c>
      <c r="L22" s="18" t="b">
        <f ca="1">IFERROR(__xludf.DUMMYFUNCTION("""COMPUTED_VALUE"""),FALSE)</f>
        <v>0</v>
      </c>
      <c r="M22" s="18" t="b">
        <f ca="1">IFERROR(__xludf.DUMMYFUNCTION("""COMPUTED_VALUE"""),FALSE)</f>
        <v>0</v>
      </c>
      <c r="N22" s="18" t="b">
        <f ca="1">IFERROR(__xludf.DUMMYFUNCTION("""COMPUTED_VALUE"""),FALSE)</f>
        <v>0</v>
      </c>
      <c r="O22" s="18" t="b">
        <f ca="1">IFERROR(__xludf.DUMMYFUNCTION("""COMPUTED_VALUE"""),FALSE)</f>
        <v>0</v>
      </c>
      <c r="P22" s="18" t="b">
        <f ca="1">IFERROR(__xludf.DUMMYFUNCTION("""COMPUTED_VALUE"""),TRUE)</f>
        <v>1</v>
      </c>
      <c r="Q22" s="18" t="b">
        <f ca="1">IFERROR(__xludf.DUMMYFUNCTION("""COMPUTED_VALUE"""),FALSE)</f>
        <v>0</v>
      </c>
      <c r="R22" s="18"/>
      <c r="S22" s="18"/>
      <c r="T22" s="18"/>
      <c r="U22" s="18"/>
    </row>
    <row r="23" spans="1:21" ht="17.100000000000001" customHeight="1" x14ac:dyDescent="0.2">
      <c r="A23" s="1" t="str">
        <f ca="1">IFERROR(__xludf.DUMMYFUNCTION("""COMPUTED_VALUE"""),"Meyer")</f>
        <v>Meyer</v>
      </c>
      <c r="B23" s="1" t="str">
        <f ca="1">IFERROR(__xludf.DUMMYFUNCTION("""COMPUTED_VALUE"""),"Cathy")</f>
        <v>Cathy</v>
      </c>
      <c r="C23" s="2" t="str">
        <f ca="1">IFERROR(__xludf.DUMMYFUNCTION("""COMPUTED_VALUE"""),"LSC")</f>
        <v>LSC</v>
      </c>
      <c r="D23" s="3">
        <f ca="1">IFERROR(__xludf.DUMMYFUNCTION("""COMPUTED_VALUE"""),21568)</f>
        <v>21568</v>
      </c>
      <c r="E23" s="6">
        <f ca="1">IFERROR(__xludf.DUMMYFUNCTION("""COMPUTED_VALUE"""),66)</f>
        <v>66</v>
      </c>
      <c r="F23" s="1" t="str">
        <f ca="1">IFERROR(__xludf.DUMMYFUNCTION("""COMPUTED_VALUE"""),"cathy.meyer@vodamail.co.za")</f>
        <v>cathy.meyer@vodamail.co.za</v>
      </c>
      <c r="G23" s="5">
        <f ca="1">IFERROR(__xludf.DUMMYFUNCTION("""COMPUTED_VALUE"""),823311732)</f>
        <v>823311732</v>
      </c>
      <c r="H23" s="6">
        <f ca="1">IFERROR(__xludf.DUMMYFUNCTION("""COMPUTED_VALUE"""),2700273160)</f>
        <v>2700273160</v>
      </c>
      <c r="I23" s="1" t="str">
        <f ca="1">IFERROR(__xludf.DUMMYFUNCTION("""COMPUTED_VALUE"""),"Margate CC")</f>
        <v>Margate CC</v>
      </c>
      <c r="J23" s="3">
        <f ca="1">IFERROR(__xludf.DUMMYFUNCTION("""COMPUTED_VALUE"""),45938)</f>
        <v>45938</v>
      </c>
      <c r="K23" s="2">
        <f ca="1">IFERROR(__xludf.DUMMYFUNCTION("""COMPUTED_VALUE"""),1)</f>
        <v>1</v>
      </c>
      <c r="L23" s="18" t="b">
        <f ca="1">IFERROR(__xludf.DUMMYFUNCTION("""COMPUTED_VALUE"""),FALSE)</f>
        <v>0</v>
      </c>
      <c r="M23" s="18" t="b">
        <f ca="1">IFERROR(__xludf.DUMMYFUNCTION("""COMPUTED_VALUE"""),FALSE)</f>
        <v>0</v>
      </c>
      <c r="N23" s="18" t="b">
        <f ca="1">IFERROR(__xludf.DUMMYFUNCTION("""COMPUTED_VALUE"""),FALSE)</f>
        <v>0</v>
      </c>
      <c r="O23" s="18" t="b">
        <f ca="1">IFERROR(__xludf.DUMMYFUNCTION("""COMPUTED_VALUE"""),FALSE)</f>
        <v>0</v>
      </c>
      <c r="P23" s="18" t="b">
        <f ca="1">IFERROR(__xludf.DUMMYFUNCTION("""COMPUTED_VALUE"""),TRUE)</f>
        <v>1</v>
      </c>
      <c r="Q23" s="18" t="b">
        <f ca="1">IFERROR(__xludf.DUMMYFUNCTION("""COMPUTED_VALUE"""),FALSE)</f>
        <v>0</v>
      </c>
      <c r="R23" s="18"/>
      <c r="S23" s="18"/>
      <c r="T23" s="18"/>
      <c r="U23" s="18"/>
    </row>
    <row r="24" spans="1:21" ht="17.100000000000001" customHeight="1" x14ac:dyDescent="0.2">
      <c r="A24" s="1" t="str">
        <f ca="1">IFERROR(__xludf.DUMMYFUNCTION("""COMPUTED_VALUE"""),"Meyer")</f>
        <v>Meyer</v>
      </c>
      <c r="B24" s="1" t="str">
        <f ca="1">IFERROR(__xludf.DUMMYFUNCTION("""COMPUTED_VALUE"""),"Johann")</f>
        <v>Johann</v>
      </c>
      <c r="C24" s="2" t="str">
        <f ca="1">IFERROR(__xludf.DUMMYFUNCTION("""COMPUTED_VALUE"""),"LSC")</f>
        <v>LSC</v>
      </c>
      <c r="D24" s="3">
        <f ca="1">IFERROR(__xludf.DUMMYFUNCTION("""COMPUTED_VALUE"""),20793)</f>
        <v>20793</v>
      </c>
      <c r="E24" s="6">
        <f ca="1">IFERROR(__xludf.DUMMYFUNCTION("""COMPUTED_VALUE"""),69)</f>
        <v>69</v>
      </c>
      <c r="F24" s="1" t="str">
        <f ca="1">IFERROR(__xludf.DUMMYFUNCTION("""COMPUTED_VALUE"""),"johann.meyersa@gmail.com")</f>
        <v>johann.meyersa@gmail.com</v>
      </c>
      <c r="G24" s="5">
        <f ca="1">IFERROR(__xludf.DUMMYFUNCTION("""COMPUTED_VALUE"""),793880154)</f>
        <v>793880154</v>
      </c>
      <c r="H24" s="6">
        <f ca="1">IFERROR(__xludf.DUMMYFUNCTION("""COMPUTED_VALUE"""),2700372159)</f>
        <v>2700372159</v>
      </c>
      <c r="I24" s="1" t="str">
        <f ca="1">IFERROR(__xludf.DUMMYFUNCTION("""COMPUTED_VALUE"""),"Margate CC")</f>
        <v>Margate CC</v>
      </c>
      <c r="J24" s="3">
        <f ca="1">IFERROR(__xludf.DUMMYFUNCTION("""COMPUTED_VALUE"""),45938)</f>
        <v>45938</v>
      </c>
      <c r="K24" s="2">
        <f ca="1">IFERROR(__xludf.DUMMYFUNCTION("""COMPUTED_VALUE"""),1)</f>
        <v>1</v>
      </c>
      <c r="L24" s="18" t="b">
        <f ca="1">IFERROR(__xludf.DUMMYFUNCTION("""COMPUTED_VALUE"""),FALSE)</f>
        <v>0</v>
      </c>
      <c r="M24" s="18" t="b">
        <f ca="1">IFERROR(__xludf.DUMMYFUNCTION("""COMPUTED_VALUE"""),FALSE)</f>
        <v>0</v>
      </c>
      <c r="N24" s="18" t="b">
        <f ca="1">IFERROR(__xludf.DUMMYFUNCTION("""COMPUTED_VALUE"""),FALSE)</f>
        <v>0</v>
      </c>
      <c r="O24" s="18" t="b">
        <f ca="1">IFERROR(__xludf.DUMMYFUNCTION("""COMPUTED_VALUE"""),FALSE)</f>
        <v>0</v>
      </c>
      <c r="P24" s="18" t="b">
        <f ca="1">IFERROR(__xludf.DUMMYFUNCTION("""COMPUTED_VALUE"""),FALSE)</f>
        <v>0</v>
      </c>
      <c r="Q24" s="18" t="b">
        <f ca="1">IFERROR(__xludf.DUMMYFUNCTION("""COMPUTED_VALUE"""),FALSE)</f>
        <v>0</v>
      </c>
      <c r="R24" s="18"/>
      <c r="S24" s="18"/>
      <c r="T24" s="18"/>
      <c r="U24" s="18"/>
    </row>
    <row r="25" spans="1:21" ht="17.100000000000001" customHeight="1" x14ac:dyDescent="0.2">
      <c r="A25" s="1" t="str">
        <f ca="1">IFERROR(__xludf.DUMMYFUNCTION("""COMPUTED_VALUE"""),"Mkhize")</f>
        <v>Mkhize</v>
      </c>
      <c r="B25" s="1" t="str">
        <f ca="1">IFERROR(__xludf.DUMMYFUNCTION("""COMPUTED_VALUE"""),"Handry")</f>
        <v>Handry</v>
      </c>
      <c r="C25" s="2" t="str">
        <f ca="1">IFERROR(__xludf.DUMMYFUNCTION("""COMPUTED_VALUE"""),"LSC")</f>
        <v>LSC</v>
      </c>
      <c r="D25" s="3">
        <f ca="1">IFERROR(__xludf.DUMMYFUNCTION("""COMPUTED_VALUE"""),24513)</f>
        <v>24513</v>
      </c>
      <c r="E25" s="6">
        <f ca="1">IFERROR(__xludf.DUMMYFUNCTION("""COMPUTED_VALUE"""),58)</f>
        <v>58</v>
      </c>
      <c r="F25" s="1" t="str">
        <f ca="1">IFERROR(__xludf.DUMMYFUNCTION("""COMPUTED_VALUE"""),"-")</f>
        <v>-</v>
      </c>
      <c r="G25" s="5">
        <f ca="1">IFERROR(__xludf.DUMMYFUNCTION("""COMPUTED_VALUE"""),634186072)</f>
        <v>634186072</v>
      </c>
      <c r="H25" s="6">
        <f ca="1">IFERROR(__xludf.DUMMYFUNCTION("""COMPUTED_VALUE"""),2700418708)</f>
        <v>2700418708</v>
      </c>
      <c r="I25" s="1" t="str">
        <f ca="1">IFERROR(__xludf.DUMMYFUNCTION("""COMPUTED_VALUE"""),"Margate CC")</f>
        <v>Margate CC</v>
      </c>
      <c r="J25" s="3">
        <f ca="1">IFERROR(__xludf.DUMMYFUNCTION("""COMPUTED_VALUE"""),45959)</f>
        <v>45959</v>
      </c>
      <c r="K25" s="2">
        <f ca="1">IFERROR(__xludf.DUMMYFUNCTION("""COMPUTED_VALUE"""),1)</f>
        <v>1</v>
      </c>
      <c r="L25" s="18" t="b">
        <f ca="1">IFERROR(__xludf.DUMMYFUNCTION("""COMPUTED_VALUE"""),FALSE)</f>
        <v>0</v>
      </c>
      <c r="M25" s="18" t="b">
        <f ca="1">IFERROR(__xludf.DUMMYFUNCTION("""COMPUTED_VALUE"""),FALSE)</f>
        <v>0</v>
      </c>
      <c r="N25" s="18" t="b">
        <f ca="1">IFERROR(__xludf.DUMMYFUNCTION("""COMPUTED_VALUE"""),FALSE)</f>
        <v>0</v>
      </c>
      <c r="O25" s="18" t="b">
        <f ca="1">IFERROR(__xludf.DUMMYFUNCTION("""COMPUTED_VALUE"""),FALSE)</f>
        <v>0</v>
      </c>
      <c r="P25" s="18" t="b">
        <f ca="1">IFERROR(__xludf.DUMMYFUNCTION("""COMPUTED_VALUE"""),FALSE)</f>
        <v>0</v>
      </c>
      <c r="Q25" s="18" t="b">
        <f ca="1">IFERROR(__xludf.DUMMYFUNCTION("""COMPUTED_VALUE"""),FALSE)</f>
        <v>0</v>
      </c>
      <c r="R25" s="18"/>
      <c r="S25" s="18"/>
      <c r="T25" s="18"/>
      <c r="U25" s="18"/>
    </row>
    <row r="26" spans="1:21" ht="17.100000000000001" customHeight="1" x14ac:dyDescent="0.2">
      <c r="A26" s="1" t="str">
        <f ca="1">IFERROR(__xludf.DUMMYFUNCTION("""COMPUTED_VALUE"""),"Momberg")</f>
        <v>Momberg</v>
      </c>
      <c r="B26" s="1" t="str">
        <f ca="1">IFERROR(__xludf.DUMMYFUNCTION("""COMPUTED_VALUE"""),"Johan")</f>
        <v>Johan</v>
      </c>
      <c r="C26" s="2" t="str">
        <f ca="1">IFERROR(__xludf.DUMMYFUNCTION("""COMPUTED_VALUE"""),"LSC")</f>
        <v>LSC</v>
      </c>
      <c r="D26" s="3">
        <f ca="1">IFERROR(__xludf.DUMMYFUNCTION("""COMPUTED_VALUE"""),20994)</f>
        <v>20994</v>
      </c>
      <c r="E26" s="6">
        <f ca="1">IFERROR(__xludf.DUMMYFUNCTION("""COMPUTED_VALUE"""),68)</f>
        <v>68</v>
      </c>
      <c r="F26" s="1" t="str">
        <f ca="1">IFERROR(__xludf.DUMMYFUNCTION("""COMPUTED_VALUE"""),"jmomberg100@gmail.com")</f>
        <v>jmomberg100@gmail.com</v>
      </c>
      <c r="G26" s="5">
        <f ca="1">IFERROR(__xludf.DUMMYFUNCTION("""COMPUTED_VALUE"""),834147844)</f>
        <v>834147844</v>
      </c>
      <c r="H26" s="6">
        <f ca="1">IFERROR(__xludf.DUMMYFUNCTION("""COMPUTED_VALUE"""),2700430441)</f>
        <v>2700430441</v>
      </c>
      <c r="I26" s="1" t="str">
        <f ca="1">IFERROR(__xludf.DUMMYFUNCTION("""COMPUTED_VALUE"""),"Margate Golf Club")</f>
        <v>Margate Golf Club</v>
      </c>
      <c r="J26" s="3">
        <f ca="1">IFERROR(__xludf.DUMMYFUNCTION("""COMPUTED_VALUE"""),45717)</f>
        <v>45717</v>
      </c>
      <c r="K26" s="2">
        <f ca="1">IFERROR(__xludf.DUMMYFUNCTION("""COMPUTED_VALUE"""),1)</f>
        <v>1</v>
      </c>
      <c r="L26" s="18" t="b">
        <f ca="1">IFERROR(__xludf.DUMMYFUNCTION("""COMPUTED_VALUE"""),FALSE)</f>
        <v>0</v>
      </c>
      <c r="M26" s="18" t="b">
        <f ca="1">IFERROR(__xludf.DUMMYFUNCTION("""COMPUTED_VALUE"""),FALSE)</f>
        <v>0</v>
      </c>
      <c r="N26" s="18" t="b">
        <f ca="1">IFERROR(__xludf.DUMMYFUNCTION("""COMPUTED_VALUE"""),FALSE)</f>
        <v>0</v>
      </c>
      <c r="O26" s="18" t="b">
        <f ca="1">IFERROR(__xludf.DUMMYFUNCTION("""COMPUTED_VALUE"""),FALSE)</f>
        <v>0</v>
      </c>
      <c r="P26" s="18" t="b">
        <f ca="1">IFERROR(__xludf.DUMMYFUNCTION("""COMPUTED_VALUE"""),FALSE)</f>
        <v>0</v>
      </c>
      <c r="Q26" s="18" t="b">
        <f ca="1">IFERROR(__xludf.DUMMYFUNCTION("""COMPUTED_VALUE"""),FALSE)</f>
        <v>0</v>
      </c>
      <c r="R26" s="18"/>
      <c r="S26" s="18"/>
      <c r="T26" s="18"/>
      <c r="U26" s="18"/>
    </row>
    <row r="27" spans="1:21" ht="17.100000000000001" customHeight="1" x14ac:dyDescent="0.2">
      <c r="A27" s="1" t="str">
        <f ca="1">IFERROR(__xludf.DUMMYFUNCTION("""COMPUTED_VALUE"""),"Pereira")</f>
        <v>Pereira</v>
      </c>
      <c r="B27" s="1" t="str">
        <f ca="1">IFERROR(__xludf.DUMMYFUNCTION("""COMPUTED_VALUE"""),"Carlos")</f>
        <v>Carlos</v>
      </c>
      <c r="C27" s="2" t="str">
        <f ca="1">IFERROR(__xludf.DUMMYFUNCTION("""COMPUTED_VALUE"""),"LSC")</f>
        <v>LSC</v>
      </c>
      <c r="D27" s="3">
        <f ca="1">IFERROR(__xludf.DUMMYFUNCTION("""COMPUTED_VALUE"""),18692)</f>
        <v>18692</v>
      </c>
      <c r="E27" s="6">
        <f ca="1">IFERROR(__xludf.DUMMYFUNCTION("""COMPUTED_VALUE"""),74)</f>
        <v>74</v>
      </c>
      <c r="F27" s="1" t="str">
        <f ca="1">IFERROR(__xludf.DUMMYFUNCTION("""COMPUTED_VALUE"""),"pereira.caf@gmail.com")</f>
        <v>pereira.caf@gmail.com</v>
      </c>
      <c r="G27" s="5">
        <f ca="1">IFERROR(__xludf.DUMMYFUNCTION("""COMPUTED_VALUE"""),824375560)</f>
        <v>824375560</v>
      </c>
      <c r="H27" s="6">
        <f ca="1">IFERROR(__xludf.DUMMYFUNCTION("""COMPUTED_VALUE"""),2700185886)</f>
        <v>2700185886</v>
      </c>
      <c r="I27" s="1" t="str">
        <f ca="1">IFERROR(__xludf.DUMMYFUNCTION("""COMPUTED_VALUE"""),"Margate CC")</f>
        <v>Margate CC</v>
      </c>
      <c r="J27" s="3">
        <f ca="1">IFERROR(__xludf.DUMMYFUNCTION("""COMPUTED_VALUE"""),45934)</f>
        <v>45934</v>
      </c>
      <c r="K27" s="2">
        <f ca="1">IFERROR(__xludf.DUMMYFUNCTION("""COMPUTED_VALUE"""),1)</f>
        <v>1</v>
      </c>
      <c r="L27" s="18" t="b">
        <f ca="1">IFERROR(__xludf.DUMMYFUNCTION("""COMPUTED_VALUE"""),FALSE)</f>
        <v>0</v>
      </c>
      <c r="M27" s="18" t="b">
        <f ca="1">IFERROR(__xludf.DUMMYFUNCTION("""COMPUTED_VALUE"""),FALSE)</f>
        <v>0</v>
      </c>
      <c r="N27" s="18" t="b">
        <f ca="1">IFERROR(__xludf.DUMMYFUNCTION("""COMPUTED_VALUE"""),FALSE)</f>
        <v>0</v>
      </c>
      <c r="O27" s="18" t="b">
        <f ca="1">IFERROR(__xludf.DUMMYFUNCTION("""COMPUTED_VALUE"""),FALSE)</f>
        <v>0</v>
      </c>
      <c r="P27" s="18" t="b">
        <f ca="1">IFERROR(__xludf.DUMMYFUNCTION("""COMPUTED_VALUE"""),FALSE)</f>
        <v>0</v>
      </c>
      <c r="Q27" s="18" t="b">
        <f ca="1">IFERROR(__xludf.DUMMYFUNCTION("""COMPUTED_VALUE"""),FALSE)</f>
        <v>0</v>
      </c>
      <c r="R27" s="18"/>
      <c r="S27" s="18"/>
      <c r="T27" s="18"/>
      <c r="U27" s="18"/>
    </row>
    <row r="28" spans="1:21" ht="17.100000000000001" customHeight="1" x14ac:dyDescent="0.2">
      <c r="A28" s="1" t="str">
        <f ca="1">IFERROR(__xludf.DUMMYFUNCTION("""COMPUTED_VALUE"""),"Tarr")</f>
        <v>Tarr</v>
      </c>
      <c r="B28" s="1" t="str">
        <f ca="1">IFERROR(__xludf.DUMMYFUNCTION("""COMPUTED_VALUE"""),"Allen")</f>
        <v>Allen</v>
      </c>
      <c r="C28" s="2" t="str">
        <f ca="1">IFERROR(__xludf.DUMMYFUNCTION("""COMPUTED_VALUE"""),"LSC")</f>
        <v>LSC</v>
      </c>
      <c r="D28" s="3">
        <f ca="1">IFERROR(__xludf.DUMMYFUNCTION("""COMPUTED_VALUE"""),22814)</f>
        <v>22814</v>
      </c>
      <c r="E28" s="6">
        <f ca="1">IFERROR(__xludf.DUMMYFUNCTION("""COMPUTED_VALUE"""),63)</f>
        <v>63</v>
      </c>
      <c r="F28" s="1" t="str">
        <f ca="1">IFERROR(__xludf.DUMMYFUNCTION("""COMPUTED_VALUE"""),"allen.tarr62@gmail.com")</f>
        <v>allen.tarr62@gmail.com</v>
      </c>
      <c r="G28" s="5">
        <f ca="1">IFERROR(__xludf.DUMMYFUNCTION("""COMPUTED_VALUE"""),832645676)</f>
        <v>832645676</v>
      </c>
      <c r="H28" s="6">
        <f ca="1">IFERROR(__xludf.DUMMYFUNCTION("""COMPUTED_VALUE"""),2700090314)</f>
        <v>2700090314</v>
      </c>
      <c r="I28" s="1" t="str">
        <f ca="1">IFERROR(__xludf.DUMMYFUNCTION("""COMPUTED_VALUE"""),"Margate")</f>
        <v>Margate</v>
      </c>
      <c r="J28" s="3">
        <f ca="1">IFERROR(__xludf.DUMMYFUNCTION("""COMPUTED_VALUE"""),45447)</f>
        <v>45447</v>
      </c>
      <c r="K28" s="2">
        <f ca="1">IFERROR(__xludf.DUMMYFUNCTION("""COMPUTED_VALUE"""),2)</f>
        <v>2</v>
      </c>
      <c r="L28" s="18" t="b">
        <f ca="1">IFERROR(__xludf.DUMMYFUNCTION("""COMPUTED_VALUE"""),FALSE)</f>
        <v>0</v>
      </c>
      <c r="M28" s="18" t="b">
        <f ca="1">IFERROR(__xludf.DUMMYFUNCTION("""COMPUTED_VALUE"""),FALSE)</f>
        <v>0</v>
      </c>
      <c r="N28" s="18" t="b">
        <f ca="1">IFERROR(__xludf.DUMMYFUNCTION("""COMPUTED_VALUE"""),FALSE)</f>
        <v>0</v>
      </c>
      <c r="O28" s="18" t="b">
        <f ca="1">IFERROR(__xludf.DUMMYFUNCTION("""COMPUTED_VALUE"""),FALSE)</f>
        <v>0</v>
      </c>
      <c r="P28" s="18" t="b">
        <f ca="1">IFERROR(__xludf.DUMMYFUNCTION("""COMPUTED_VALUE"""),FALSE)</f>
        <v>0</v>
      </c>
      <c r="Q28" s="18" t="b">
        <f ca="1">IFERROR(__xludf.DUMMYFUNCTION("""COMPUTED_VALUE"""),FALSE)</f>
        <v>0</v>
      </c>
      <c r="R28" s="18"/>
      <c r="S28" s="18"/>
      <c r="T28" s="18"/>
      <c r="U28" s="18"/>
    </row>
    <row r="29" spans="1:21" ht="17.100000000000001" customHeight="1" x14ac:dyDescent="0.2">
      <c r="A29" s="1" t="str">
        <f ca="1">IFERROR(__xludf.DUMMYFUNCTION("""COMPUTED_VALUE"""),"Wichmann")</f>
        <v>Wichmann</v>
      </c>
      <c r="B29" s="1" t="str">
        <f ca="1">IFERROR(__xludf.DUMMYFUNCTION("""COMPUTED_VALUE"""),"Wally")</f>
        <v>Wally</v>
      </c>
      <c r="C29" s="2" t="str">
        <f ca="1">IFERROR(__xludf.DUMMYFUNCTION("""COMPUTED_VALUE"""),"LSC")</f>
        <v>LSC</v>
      </c>
      <c r="D29" s="3">
        <f ca="1">IFERROR(__xludf.DUMMYFUNCTION("""COMPUTED_VALUE"""),22057)</f>
        <v>22057</v>
      </c>
      <c r="E29" s="6">
        <f ca="1">IFERROR(__xludf.DUMMYFUNCTION("""COMPUTED_VALUE"""),65)</f>
        <v>65</v>
      </c>
      <c r="F29" s="1" t="str">
        <f ca="1">IFERROR(__xludf.DUMMYFUNCTION("""COMPUTED_VALUE"""),"izotspring@mweb.co.za")</f>
        <v>izotspring@mweb.co.za</v>
      </c>
      <c r="G29" s="5">
        <f ca="1">IFERROR(__xludf.DUMMYFUNCTION("""COMPUTED_VALUE"""),834681778)</f>
        <v>834681778</v>
      </c>
      <c r="H29" s="6">
        <f ca="1">IFERROR(__xludf.DUMMYFUNCTION("""COMPUTED_VALUE"""),2700079926)</f>
        <v>2700079926</v>
      </c>
      <c r="I29" s="1" t="str">
        <f ca="1">IFERROR(__xludf.DUMMYFUNCTION("""COMPUTED_VALUE"""),"Harding CC")</f>
        <v>Harding CC</v>
      </c>
      <c r="J29" s="3">
        <f ca="1">IFERROR(__xludf.DUMMYFUNCTION("""COMPUTED_VALUE"""),45959)</f>
        <v>45959</v>
      </c>
      <c r="K29" s="2">
        <f ca="1">IFERROR(__xludf.DUMMYFUNCTION("""COMPUTED_VALUE"""),1)</f>
        <v>1</v>
      </c>
      <c r="L29" s="18" t="b">
        <f ca="1">IFERROR(__xludf.DUMMYFUNCTION("""COMPUTED_VALUE"""),FALSE)</f>
        <v>0</v>
      </c>
      <c r="M29" s="18" t="b">
        <f ca="1">IFERROR(__xludf.DUMMYFUNCTION("""COMPUTED_VALUE"""),FALSE)</f>
        <v>0</v>
      </c>
      <c r="N29" s="18" t="b">
        <f ca="1">IFERROR(__xludf.DUMMYFUNCTION("""COMPUTED_VALUE"""),FALSE)</f>
        <v>0</v>
      </c>
      <c r="O29" s="18" t="b">
        <f ca="1">IFERROR(__xludf.DUMMYFUNCTION("""COMPUTED_VALUE"""),FALSE)</f>
        <v>0</v>
      </c>
      <c r="P29" s="18" t="b">
        <f ca="1">IFERROR(__xludf.DUMMYFUNCTION("""COMPUTED_VALUE"""),FALSE)</f>
        <v>0</v>
      </c>
      <c r="Q29" s="18" t="b">
        <f ca="1">IFERROR(__xludf.DUMMYFUNCTION("""COMPUTED_VALUE"""),FALSE)</f>
        <v>0</v>
      </c>
      <c r="R29" s="18"/>
      <c r="S29" s="18"/>
      <c r="T29" s="18"/>
      <c r="U29" s="18"/>
    </row>
  </sheetData>
  <mergeCells count="3">
    <mergeCell ref="R16:T16"/>
    <mergeCell ref="A1:U1"/>
    <mergeCell ref="R2:U2"/>
  </mergeCells>
  <conditionalFormatting sqref="A3:B29 L3:L29">
    <cfRule type="expression" dxfId="31" priority="3">
      <formula>$L3=TRUE</formula>
    </cfRule>
  </conditionalFormatting>
  <conditionalFormatting sqref="A3:B29 M3:M29">
    <cfRule type="expression" dxfId="30" priority="4">
      <formula>$M3=TRUE</formula>
    </cfRule>
  </conditionalFormatting>
  <conditionalFormatting sqref="A3:B29 N3:N29">
    <cfRule type="expression" dxfId="29" priority="5">
      <formula>$N3=TRUE</formula>
    </cfRule>
  </conditionalFormatting>
  <conditionalFormatting sqref="A3:B29 O3:O29">
    <cfRule type="expression" dxfId="28" priority="6">
      <formula>$O3=TRUE</formula>
    </cfRule>
  </conditionalFormatting>
  <conditionalFormatting sqref="A3:B29 P3:P29">
    <cfRule type="expression" dxfId="27" priority="7">
      <formula>$P3=TRUE</formula>
    </cfRule>
  </conditionalFormatting>
  <conditionalFormatting sqref="A3:K29">
    <cfRule type="cellIs" dxfId="26" priority="1" operator="equal">
      <formula>"-"</formula>
    </cfRule>
    <cfRule type="containsBlanks" dxfId="25" priority="2">
      <formula>LEN(TRIM(A3))=0</formula>
    </cfRule>
    <cfRule type="cellIs" dxfId="24" priority="9" operator="equal">
      <formula>"-"</formula>
    </cfRule>
    <cfRule type="containsBlanks" dxfId="23" priority="11">
      <formula>LEN(TRIM(A3))=0</formula>
    </cfRule>
  </conditionalFormatting>
  <conditionalFormatting sqref="C3:C29">
    <cfRule type="expression" dxfId="22" priority="12">
      <formula>$Q3=TRUE</formula>
    </cfRule>
  </conditionalFormatting>
  <conditionalFormatting sqref="K3:N29 E3:E29">
    <cfRule type="cellIs" dxfId="21" priority="8" operator="between">
      <formula>80</formula>
      <formula>110</formula>
    </cfRule>
    <cfRule type="cellIs" dxfId="20" priority="10" operator="greaterThan">
      <formula>110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/>
  <headerFooter>
    <oddHeader>&amp;L&amp;A&amp;CSAGES Membership List&amp;R&amp;D</oddHeader>
    <oddFooter>&amp;R&amp;P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LOWER SOUTH COAST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Mantle</dc:creator>
  <cp:lastModifiedBy>Eddie Mantle</cp:lastModifiedBy>
  <dcterms:created xsi:type="dcterms:W3CDTF">2026-01-01T04:54:17Z</dcterms:created>
  <dcterms:modified xsi:type="dcterms:W3CDTF">2026-01-01T06:49:17Z</dcterms:modified>
</cp:coreProperties>
</file>